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jangorecki/Downloads/OneDrive_1_3/"/>
    </mc:Choice>
  </mc:AlternateContent>
  <xr:revisionPtr revIDLastSave="0" documentId="13_ncr:1_{2E66201A-E18C-C345-A50D-D2E291C0E6EA}" xr6:coauthVersionLast="47" xr6:coauthVersionMax="48" xr10:uidLastSave="{00000000-0000-0000-0000-000000000000}"/>
  <bookViews>
    <workbookView xWindow="0" yWindow="500" windowWidth="23260" windowHeight="12580" xr2:uid="{430B456D-ABCF-4FE1-A843-A4FFD17097A3}"/>
  </bookViews>
  <sheets>
    <sheet name="Datahub" sheetId="21" r:id="rId1"/>
    <sheet name="Rozpočet - kategorie" sheetId="22" r:id="rId2"/>
    <sheet name="Rozpočet - roky" sheetId="33" r:id="rId3"/>
  </sheets>
  <definedNames>
    <definedName name="_xlnm._FilterDatabase" localSheetId="1" hidden="1">'Rozpočet - kategorie'!$A$5:$M$5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3" i="33" l="1"/>
  <c r="BC2" i="33"/>
  <c r="O3" i="22"/>
  <c r="O2" i="22"/>
  <c r="H8" i="33"/>
  <c r="G8" i="33"/>
  <c r="C12" i="22"/>
  <c r="C11" i="22"/>
  <c r="AL2" i="33"/>
  <c r="AL3" i="33" s="1"/>
  <c r="AZ18" i="33"/>
  <c r="AY18" i="33"/>
  <c r="AX18" i="33"/>
  <c r="AW18" i="33"/>
  <c r="AV18" i="33"/>
  <c r="AU18" i="33"/>
  <c r="AT18" i="33"/>
  <c r="AS18" i="33"/>
  <c r="AR18" i="33"/>
  <c r="AQ18" i="33"/>
  <c r="AP18" i="33"/>
  <c r="AO18" i="33"/>
  <c r="AM18" i="33"/>
  <c r="AL18" i="33"/>
  <c r="AK18" i="33"/>
  <c r="AJ18" i="33"/>
  <c r="AI18" i="33"/>
  <c r="AH18" i="33"/>
  <c r="AG18" i="33"/>
  <c r="AF18" i="33"/>
  <c r="AE18" i="33"/>
  <c r="AD18" i="33"/>
  <c r="AC18" i="33"/>
  <c r="AB18" i="33"/>
  <c r="Z18" i="33"/>
  <c r="Y18" i="33"/>
  <c r="X18" i="33"/>
  <c r="W18" i="33"/>
  <c r="V18" i="33"/>
  <c r="U18" i="33"/>
  <c r="T18" i="33"/>
  <c r="S18" i="33"/>
  <c r="R18" i="33"/>
  <c r="Q18" i="33"/>
  <c r="P18" i="33"/>
  <c r="O18" i="33"/>
  <c r="N18" i="33"/>
  <c r="AZ17" i="33"/>
  <c r="AY17" i="33"/>
  <c r="AX17" i="33"/>
  <c r="AW17" i="33"/>
  <c r="AV17" i="33"/>
  <c r="AU17" i="33"/>
  <c r="AT17" i="33"/>
  <c r="AS17" i="33"/>
  <c r="AR17" i="33"/>
  <c r="AQ17" i="33"/>
  <c r="AP17" i="33"/>
  <c r="AO17" i="33"/>
  <c r="AM17" i="33"/>
  <c r="AL17" i="33"/>
  <c r="AK17" i="33"/>
  <c r="AJ17" i="33"/>
  <c r="AI17" i="33"/>
  <c r="AH17" i="33"/>
  <c r="AG17" i="33"/>
  <c r="AF17" i="33"/>
  <c r="AE17" i="33"/>
  <c r="AD17" i="33"/>
  <c r="AC17" i="33"/>
  <c r="AB17" i="33"/>
  <c r="Z17" i="33"/>
  <c r="Y17" i="33"/>
  <c r="X17" i="33"/>
  <c r="W17" i="33"/>
  <c r="V17" i="33"/>
  <c r="U17" i="33"/>
  <c r="T17" i="33"/>
  <c r="S17" i="33"/>
  <c r="R17" i="33"/>
  <c r="Q17" i="33"/>
  <c r="P17" i="33"/>
  <c r="O17" i="33"/>
  <c r="M17" i="33"/>
  <c r="L17" i="33"/>
  <c r="K17" i="33"/>
  <c r="J17" i="33"/>
  <c r="I17" i="33"/>
  <c r="AZ16" i="33"/>
  <c r="AY16" i="33"/>
  <c r="AX16" i="33"/>
  <c r="AW16" i="33"/>
  <c r="AV16" i="33"/>
  <c r="AU16" i="33"/>
  <c r="AT16" i="33"/>
  <c r="AS16" i="33"/>
  <c r="AR16" i="33"/>
  <c r="AQ16" i="33"/>
  <c r="AP16" i="33"/>
  <c r="AO16" i="33"/>
  <c r="AM16" i="33"/>
  <c r="AL16" i="33"/>
  <c r="AK16" i="33"/>
  <c r="AJ16" i="33"/>
  <c r="AI16" i="33"/>
  <c r="AH16" i="33"/>
  <c r="AG16" i="33"/>
  <c r="AF16" i="33"/>
  <c r="AE16" i="33"/>
  <c r="AD16" i="33"/>
  <c r="AC16" i="33"/>
  <c r="AB16" i="33"/>
  <c r="Z16" i="33"/>
  <c r="Y16" i="33"/>
  <c r="X16" i="33"/>
  <c r="W16" i="33"/>
  <c r="V16" i="33"/>
  <c r="U16" i="33"/>
  <c r="T16" i="33"/>
  <c r="S16" i="33"/>
  <c r="R16" i="33"/>
  <c r="Q16" i="33"/>
  <c r="P16" i="33"/>
  <c r="O16" i="33"/>
  <c r="M16" i="33"/>
  <c r="L16" i="33"/>
  <c r="K16" i="33"/>
  <c r="J16" i="33"/>
  <c r="I16" i="33"/>
  <c r="AX15" i="33"/>
  <c r="AS15" i="33"/>
  <c r="BA15" i="33" s="1"/>
  <c r="AK15" i="33"/>
  <c r="AF15" i="33"/>
  <c r="X15" i="33"/>
  <c r="T15" i="33"/>
  <c r="N15" i="33"/>
  <c r="AZ14" i="33"/>
  <c r="AY14" i="33"/>
  <c r="AX14" i="33"/>
  <c r="AW14" i="33"/>
  <c r="AV14" i="33"/>
  <c r="AU14" i="33"/>
  <c r="AT14" i="33"/>
  <c r="AS14" i="33"/>
  <c r="AR14" i="33"/>
  <c r="AQ14" i="33"/>
  <c r="AP14" i="33"/>
  <c r="AO14" i="33"/>
  <c r="AM14" i="33"/>
  <c r="AL14" i="33"/>
  <c r="AK14" i="33"/>
  <c r="AJ14" i="33"/>
  <c r="AI14" i="33"/>
  <c r="AH14" i="33"/>
  <c r="AG14" i="33"/>
  <c r="AF14" i="33"/>
  <c r="AE14" i="33"/>
  <c r="AD14" i="33"/>
  <c r="AC14" i="33"/>
  <c r="AB14" i="33"/>
  <c r="Z14" i="33"/>
  <c r="Y14" i="33"/>
  <c r="X14" i="33"/>
  <c r="W14" i="33"/>
  <c r="V14" i="33"/>
  <c r="U14" i="33"/>
  <c r="T14" i="33"/>
  <c r="S14" i="33"/>
  <c r="R14" i="33"/>
  <c r="Q14" i="33"/>
  <c r="P14" i="33"/>
  <c r="O14" i="33"/>
  <c r="M14" i="33"/>
  <c r="L14" i="33"/>
  <c r="K14" i="33"/>
  <c r="J14" i="33"/>
  <c r="I14" i="33"/>
  <c r="AO13" i="33"/>
  <c r="BA13" i="33" s="1"/>
  <c r="AN13" i="33"/>
  <c r="BB13" i="33" s="1"/>
  <c r="AB13" i="33"/>
  <c r="O13" i="33"/>
  <c r="AA13" i="33" s="1"/>
  <c r="I13" i="33"/>
  <c r="N13" i="33" s="1"/>
  <c r="AZ12" i="33"/>
  <c r="AY12" i="33"/>
  <c r="AX12" i="33"/>
  <c r="AW12" i="33"/>
  <c r="AV12" i="33"/>
  <c r="AU12" i="33"/>
  <c r="AT12" i="33"/>
  <c r="AS12" i="33"/>
  <c r="AR12" i="33"/>
  <c r="AQ12" i="33"/>
  <c r="AP12" i="33"/>
  <c r="AO12" i="33"/>
  <c r="AM12" i="33"/>
  <c r="AL12" i="33"/>
  <c r="AK12" i="33"/>
  <c r="AJ12" i="33"/>
  <c r="AI12" i="33"/>
  <c r="AH12" i="33"/>
  <c r="AG12" i="33"/>
  <c r="AF12" i="33"/>
  <c r="AE12" i="33"/>
  <c r="AD12" i="33"/>
  <c r="AC12" i="33"/>
  <c r="AB12" i="33"/>
  <c r="Z12" i="33"/>
  <c r="Y12" i="33"/>
  <c r="X12" i="33"/>
  <c r="W12" i="33"/>
  <c r="V12" i="33"/>
  <c r="U12" i="33"/>
  <c r="T12" i="33"/>
  <c r="S12" i="33"/>
  <c r="R12" i="33"/>
  <c r="Q12" i="33"/>
  <c r="P12" i="33"/>
  <c r="O12" i="33"/>
  <c r="M12" i="33"/>
  <c r="M2" i="33" s="1"/>
  <c r="M3" i="33" s="1"/>
  <c r="L12" i="33"/>
  <c r="K12" i="33"/>
  <c r="J12" i="33"/>
  <c r="I12" i="33"/>
  <c r="AZ11" i="33"/>
  <c r="AY11" i="33"/>
  <c r="AX11" i="33"/>
  <c r="AW11" i="33"/>
  <c r="AV11" i="33"/>
  <c r="AU11" i="33"/>
  <c r="AT11" i="33"/>
  <c r="AS11" i="33"/>
  <c r="AR11" i="33"/>
  <c r="AQ11" i="33"/>
  <c r="AP11" i="33"/>
  <c r="AO11" i="33"/>
  <c r="AM11" i="33"/>
  <c r="AL11" i="33"/>
  <c r="AK11" i="33"/>
  <c r="AJ11" i="33"/>
  <c r="AI11" i="33"/>
  <c r="AH11" i="33"/>
  <c r="AG11" i="33"/>
  <c r="AF11" i="33"/>
  <c r="AE11" i="33"/>
  <c r="AD11" i="33"/>
  <c r="AC11" i="33"/>
  <c r="AB11" i="33"/>
  <c r="Z11" i="33"/>
  <c r="Y11" i="33"/>
  <c r="X11" i="33"/>
  <c r="W11" i="33"/>
  <c r="V11" i="33"/>
  <c r="U11" i="33"/>
  <c r="T11" i="33"/>
  <c r="S11" i="33"/>
  <c r="R11" i="33"/>
  <c r="Q11" i="33"/>
  <c r="P11" i="33"/>
  <c r="O11" i="33"/>
  <c r="AA11" i="33" s="1"/>
  <c r="M11" i="33"/>
  <c r="L11" i="33"/>
  <c r="K11" i="33"/>
  <c r="J11" i="33"/>
  <c r="I11" i="33"/>
  <c r="AZ10" i="33"/>
  <c r="AZ2" i="33" s="1"/>
  <c r="AZ3" i="33" s="1"/>
  <c r="AY10" i="33"/>
  <c r="AX10" i="33"/>
  <c r="AX2" i="33" s="1"/>
  <c r="AX3" i="33" s="1"/>
  <c r="AW10" i="33"/>
  <c r="AV10" i="33"/>
  <c r="AU10" i="33"/>
  <c r="AU2" i="33" s="1"/>
  <c r="AU3" i="33" s="1"/>
  <c r="AT10" i="33"/>
  <c r="AT2" i="33" s="1"/>
  <c r="AT3" i="33" s="1"/>
  <c r="AS10" i="33"/>
  <c r="AR10" i="33"/>
  <c r="AR2" i="33" s="1"/>
  <c r="AR3" i="33" s="1"/>
  <c r="AQ10" i="33"/>
  <c r="AP10" i="33"/>
  <c r="AP2" i="33" s="1"/>
  <c r="AP3" i="33" s="1"/>
  <c r="AO10" i="33"/>
  <c r="AM10" i="33"/>
  <c r="AL10" i="33"/>
  <c r="AK10" i="33"/>
  <c r="AJ10" i="33"/>
  <c r="AJ2" i="33" s="1"/>
  <c r="AJ3" i="33" s="1"/>
  <c r="AI10" i="33"/>
  <c r="AI2" i="33" s="1"/>
  <c r="AI3" i="33" s="1"/>
  <c r="AH10" i="33"/>
  <c r="AG10" i="33"/>
  <c r="AG2" i="33" s="1"/>
  <c r="AG3" i="33" s="1"/>
  <c r="AF10" i="33"/>
  <c r="AE10" i="33"/>
  <c r="AD10" i="33"/>
  <c r="AD2" i="33" s="1"/>
  <c r="AD3" i="33" s="1"/>
  <c r="AC10" i="33"/>
  <c r="AB10" i="33"/>
  <c r="AB2" i="33" s="1"/>
  <c r="AB3" i="33" s="1"/>
  <c r="Z10" i="33"/>
  <c r="Z2" i="33" s="1"/>
  <c r="Z3" i="33" s="1"/>
  <c r="Y10" i="33"/>
  <c r="X10" i="33"/>
  <c r="X2" i="33" s="1"/>
  <c r="X3" i="33" s="1"/>
  <c r="W10" i="33"/>
  <c r="V10" i="33"/>
  <c r="V2" i="33" s="1"/>
  <c r="V3" i="33" s="1"/>
  <c r="U10" i="33"/>
  <c r="U2" i="33" s="1"/>
  <c r="U3" i="33" s="1"/>
  <c r="T10" i="33"/>
  <c r="S10" i="33"/>
  <c r="S2" i="33" s="1"/>
  <c r="S3" i="33" s="1"/>
  <c r="R10" i="33"/>
  <c r="R2" i="33" s="1"/>
  <c r="R3" i="33" s="1"/>
  <c r="Q10" i="33"/>
  <c r="P10" i="33"/>
  <c r="P2" i="33" s="1"/>
  <c r="P3" i="33" s="1"/>
  <c r="O10" i="33"/>
  <c r="M10" i="33"/>
  <c r="L10" i="33"/>
  <c r="L2" i="33" s="1"/>
  <c r="L3" i="33" s="1"/>
  <c r="K10" i="33"/>
  <c r="K2" i="33" s="1"/>
  <c r="K3" i="33" s="1"/>
  <c r="J10" i="33"/>
  <c r="J2" i="33" s="1"/>
  <c r="J3" i="33" s="1"/>
  <c r="I10" i="33"/>
  <c r="I2" i="33" s="1"/>
  <c r="I3" i="33" s="1"/>
  <c r="H10" i="33"/>
  <c r="G10" i="33"/>
  <c r="F10" i="33"/>
  <c r="C10" i="33"/>
  <c r="C2" i="33" s="1"/>
  <c r="C3" i="33" s="1"/>
  <c r="B10" i="33"/>
  <c r="BA9" i="33"/>
  <c r="AN9" i="33"/>
  <c r="AA9" i="33"/>
  <c r="B9" i="33"/>
  <c r="BA8" i="33"/>
  <c r="AN8" i="33"/>
  <c r="AA8" i="33"/>
  <c r="BA7" i="33"/>
  <c r="AN7" i="33"/>
  <c r="AA7" i="33"/>
  <c r="G7" i="33"/>
  <c r="F7" i="33"/>
  <c r="E7" i="33"/>
  <c r="E2" i="33" s="1"/>
  <c r="E3" i="33" s="1"/>
  <c r="D7" i="33"/>
  <c r="D2" i="33" s="1"/>
  <c r="D3" i="33" s="1"/>
  <c r="D6" i="22"/>
  <c r="B11" i="22"/>
  <c r="B10" i="22"/>
  <c r="B9" i="22"/>
  <c r="N9" i="22" s="1"/>
  <c r="B8" i="22"/>
  <c r="N8" i="22" s="1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18" i="22"/>
  <c r="L14" i="22"/>
  <c r="L15" i="22"/>
  <c r="L16" i="22"/>
  <c r="L17" i="22"/>
  <c r="L13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18" i="22"/>
  <c r="K14" i="22"/>
  <c r="K15" i="22"/>
  <c r="K16" i="22"/>
  <c r="K17" i="22"/>
  <c r="K13" i="22"/>
  <c r="J51" i="22"/>
  <c r="J46" i="22"/>
  <c r="J39" i="22"/>
  <c r="J34" i="22"/>
  <c r="J27" i="22"/>
  <c r="J2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13" i="22"/>
  <c r="H42" i="22"/>
  <c r="H30" i="22"/>
  <c r="H18" i="22"/>
  <c r="H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13" i="22"/>
  <c r="E6" i="22"/>
  <c r="N6" i="22" s="1"/>
  <c r="E7" i="22"/>
  <c r="N7" i="22" s="1"/>
  <c r="E10" i="22"/>
  <c r="N10" i="22" s="1"/>
  <c r="E11" i="22"/>
  <c r="N11" i="22" s="1"/>
  <c r="E12" i="22"/>
  <c r="N12" i="22" s="1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D2" i="22"/>
  <c r="D3" i="22" s="1"/>
  <c r="F4" i="21"/>
  <c r="F3" i="21" s="1"/>
  <c r="F13" i="21"/>
  <c r="F25" i="21"/>
  <c r="E25" i="21"/>
  <c r="F24" i="21"/>
  <c r="F23" i="21"/>
  <c r="F22" i="21"/>
  <c r="F21" i="21"/>
  <c r="F20" i="21"/>
  <c r="E16" i="21"/>
  <c r="F16" i="21" s="1"/>
  <c r="E15" i="21"/>
  <c r="F14" i="21"/>
  <c r="F2" i="33" l="1"/>
  <c r="F3" i="33" s="1"/>
  <c r="B2" i="33"/>
  <c r="B3" i="33" s="1"/>
  <c r="Y2" i="33"/>
  <c r="Y3" i="33" s="1"/>
  <c r="AH2" i="33"/>
  <c r="AH3" i="33" s="1"/>
  <c r="AQ2" i="33"/>
  <c r="AQ3" i="33" s="1"/>
  <c r="AY2" i="33"/>
  <c r="AY3" i="33" s="1"/>
  <c r="AS2" i="33"/>
  <c r="AS3" i="33" s="1"/>
  <c r="T2" i="33"/>
  <c r="T3" i="33" s="1"/>
  <c r="AC2" i="33"/>
  <c r="AC3" i="33" s="1"/>
  <c r="AK2" i="33"/>
  <c r="AK3" i="33" s="1"/>
  <c r="AE2" i="33"/>
  <c r="AE3" i="33" s="1"/>
  <c r="AM2" i="33"/>
  <c r="AM3" i="33" s="1"/>
  <c r="AV2" i="33"/>
  <c r="AV3" i="33" s="1"/>
  <c r="AN15" i="33"/>
  <c r="O2" i="33"/>
  <c r="O3" i="33" s="1"/>
  <c r="W2" i="33"/>
  <c r="W3" i="33" s="1"/>
  <c r="AF2" i="33"/>
  <c r="AF3" i="33" s="1"/>
  <c r="AO2" i="33"/>
  <c r="AO3" i="33" s="1"/>
  <c r="AW2" i="33"/>
  <c r="AW3" i="33" s="1"/>
  <c r="N51" i="22"/>
  <c r="N43" i="22"/>
  <c r="N35" i="22"/>
  <c r="N27" i="22"/>
  <c r="N19" i="22"/>
  <c r="N48" i="22"/>
  <c r="N40" i="22"/>
  <c r="N32" i="22"/>
  <c r="N24" i="22"/>
  <c r="N16" i="22"/>
  <c r="N15" i="22"/>
  <c r="N9" i="33"/>
  <c r="BB9" i="33" s="1"/>
  <c r="AA10" i="33"/>
  <c r="N16" i="33"/>
  <c r="Q2" i="33"/>
  <c r="Q3" i="33" s="1"/>
  <c r="G2" i="33"/>
  <c r="G3" i="33" s="1"/>
  <c r="H2" i="33"/>
  <c r="H3" i="33" s="1"/>
  <c r="AA16" i="33"/>
  <c r="N7" i="33"/>
  <c r="BB7" i="33" s="1"/>
  <c r="N8" i="33"/>
  <c r="BB8" i="33" s="1"/>
  <c r="N14" i="33"/>
  <c r="BA14" i="33"/>
  <c r="AA18" i="33"/>
  <c r="BB18" i="33" s="1"/>
  <c r="AA17" i="33"/>
  <c r="BA17" i="33"/>
  <c r="BA18" i="33"/>
  <c r="N11" i="33"/>
  <c r="BA11" i="33"/>
  <c r="AA12" i="33"/>
  <c r="AN14" i="33"/>
  <c r="AA15" i="33"/>
  <c r="AN10" i="33"/>
  <c r="N10" i="33"/>
  <c r="BA10" i="33"/>
  <c r="AN11" i="33"/>
  <c r="N12" i="33"/>
  <c r="BB12" i="33" s="1"/>
  <c r="AA14" i="33"/>
  <c r="AN17" i="33"/>
  <c r="AN18" i="33"/>
  <c r="AN16" i="33"/>
  <c r="BA16" i="33"/>
  <c r="N17" i="33"/>
  <c r="AN12" i="33"/>
  <c r="BA12" i="33"/>
  <c r="N46" i="22"/>
  <c r="N38" i="22"/>
  <c r="N30" i="22"/>
  <c r="N22" i="22"/>
  <c r="N14" i="22"/>
  <c r="N53" i="22"/>
  <c r="N45" i="22"/>
  <c r="N37" i="22"/>
  <c r="N29" i="22"/>
  <c r="N21" i="22"/>
  <c r="N13" i="22"/>
  <c r="N49" i="22"/>
  <c r="N41" i="22"/>
  <c r="N33" i="22"/>
  <c r="N25" i="22"/>
  <c r="N17" i="22"/>
  <c r="N52" i="22"/>
  <c r="N36" i="22"/>
  <c r="N20" i="22"/>
  <c r="N47" i="22"/>
  <c r="N31" i="22"/>
  <c r="N23" i="22"/>
  <c r="J2" i="22"/>
  <c r="J3" i="22" s="1"/>
  <c r="M2" i="22"/>
  <c r="M3" i="22" s="1"/>
  <c r="N28" i="22"/>
  <c r="N39" i="22"/>
  <c r="N44" i="22"/>
  <c r="N50" i="22"/>
  <c r="N42" i="22"/>
  <c r="N34" i="22"/>
  <c r="N26" i="22"/>
  <c r="N18" i="22"/>
  <c r="C2" i="22"/>
  <c r="C3" i="22" s="1"/>
  <c r="H2" i="22"/>
  <c r="H3" i="22" s="1"/>
  <c r="F2" i="22"/>
  <c r="F3" i="22" s="1"/>
  <c r="E2" i="22"/>
  <c r="E3" i="22" s="1"/>
  <c r="K2" i="22"/>
  <c r="K3" i="22" s="1"/>
  <c r="B2" i="22"/>
  <c r="B3" i="22" s="1"/>
  <c r="I2" i="22"/>
  <c r="I3" i="22" s="1"/>
  <c r="L2" i="22"/>
  <c r="L3" i="22" s="1"/>
  <c r="G2" i="22"/>
  <c r="G3" i="22" s="1"/>
  <c r="F15" i="21"/>
  <c r="F7" i="21"/>
  <c r="F8" i="21"/>
  <c r="F9" i="21"/>
  <c r="F10" i="21"/>
  <c r="F11" i="21"/>
  <c r="F12" i="21"/>
  <c r="F6" i="21"/>
  <c r="F18" i="21"/>
  <c r="F19" i="21"/>
  <c r="F17" i="21"/>
  <c r="BB11" i="33" l="1"/>
  <c r="BB17" i="33"/>
  <c r="BA2" i="33"/>
  <c r="BA3" i="33" s="1"/>
  <c r="BB10" i="33"/>
  <c r="BB15" i="33"/>
  <c r="AN2" i="33"/>
  <c r="AN3" i="33" s="1"/>
  <c r="BB16" i="33"/>
  <c r="AA2" i="33"/>
  <c r="AA3" i="33" s="1"/>
  <c r="BB14" i="33"/>
  <c r="N2" i="33"/>
  <c r="N3" i="33" s="1"/>
  <c r="N2" i="22"/>
  <c r="N3" i="22" s="1"/>
  <c r="F5" i="21"/>
  <c r="BB2" i="33" l="1"/>
  <c r="BB3" i="33" s="1"/>
  <c r="G3" i="21"/>
  <c r="G13" i="21"/>
  <c r="F2" i="21" l="1"/>
  <c r="G2" i="21" s="1"/>
</calcChain>
</file>

<file path=xl/sharedStrings.xml><?xml version="1.0" encoding="utf-8"?>
<sst xmlns="http://schemas.openxmlformats.org/spreadsheetml/2006/main" count="159" uniqueCount="123">
  <si>
    <t>Položka</t>
  </si>
  <si>
    <t>Měrná jednotka</t>
  </si>
  <si>
    <t>počet FTE úvazků u mzdových nákladů</t>
  </si>
  <si>
    <t>Množství jednotek</t>
  </si>
  <si>
    <t>Jednotková cena v Kč (bez DPH)</t>
  </si>
  <si>
    <t>Cena celkem v Kč (bez DPH)</t>
  </si>
  <si>
    <t>Cena celkem v Kč (s DPH)</t>
  </si>
  <si>
    <t>Poznámka</t>
  </si>
  <si>
    <t>Celkové roční náklady Datahub</t>
  </si>
  <si>
    <t>Investiční náklady (CAPEX)</t>
  </si>
  <si>
    <t>Inflace 15 %</t>
  </si>
  <si>
    <t>procento</t>
  </si>
  <si>
    <t>Risk budget 10 %</t>
  </si>
  <si>
    <t>Bourací práce, stavba, technologie, projekční práce</t>
  </si>
  <si>
    <t>Bourací práce</t>
  </si>
  <si>
    <t>počet</t>
  </si>
  <si>
    <t>Podlahy, podhledy, obklady, vybavení</t>
  </si>
  <si>
    <t>Stavba</t>
  </si>
  <si>
    <t xml:space="preserve">Podlahy, příčky skleněné, příčky SDK, podhled, povrchy stávajících stěn, dveře </t>
  </si>
  <si>
    <t>Technologie</t>
  </si>
  <si>
    <t>Vzduchotechnika, osvětlení, zdravotechnické instalace, silnoproud a slaboproud, požární zabezpečení (SHZ + EPS), vytápění a chlazení, MaR, Dali</t>
  </si>
  <si>
    <t>AV technika</t>
  </si>
  <si>
    <t>Sestava 8x TV (4x standardní, 4x dotyková), TV - jednací místnost 5x, audio vybavení, Smart LCD PANEL - zabudovaný, streamovací technologie</t>
  </si>
  <si>
    <t>Atypický nábytek</t>
  </si>
  <si>
    <t>Plechový box (kuchyňka, skříně, obklad), barový pult pojízdný, barový pult - kuchyňka</t>
  </si>
  <si>
    <t>Typový nábytek</t>
  </si>
  <si>
    <t>Stůl jednací velký, stůl jednací malý 2x, židle (jednací 36x, pracovní 15x, konferenční 38x, barová 22x), stůl pracovní 15x, křeslo 7x</t>
  </si>
  <si>
    <t>Projekční práce</t>
  </si>
  <si>
    <t>Projekční práce, projektový management, inženýring, TDI</t>
  </si>
  <si>
    <t>Provozní náklady (OPEX)</t>
  </si>
  <si>
    <t>Interní služby - sdílené osobní náklady napříč firmou</t>
  </si>
  <si>
    <t>měsíc</t>
  </si>
  <si>
    <t xml:space="preserve">Sdílené náklady na interní služby napříč firmou - náklady na právní služby, zajíštění vedení účetnictví, finanční služby, HR, vývoj, provozní služby atd. </t>
  </si>
  <si>
    <t>Personální náklady - produkční manažer (1x osoba)</t>
  </si>
  <si>
    <t>Osobní náklady (vč. nákladů zaměstnavatele) 100.000,- + KPIs + marže 10 %</t>
  </si>
  <si>
    <t>Personální náklady - provozní manažer (1x osoba)</t>
  </si>
  <si>
    <t>Náklady na pronájem + energie a služby</t>
  </si>
  <si>
    <t>Náklady na pronájem externích prostor po 20% slevě</t>
  </si>
  <si>
    <t>Náklady na pronájem - nájemní prázdniny (stavební práce)</t>
  </si>
  <si>
    <t>ks</t>
  </si>
  <si>
    <t>Nájemní prázdniny po dobu bouracích a stavebních prací</t>
  </si>
  <si>
    <t>Náklady na pronájem - kauce</t>
  </si>
  <si>
    <t>Kauce stanovená KCP</t>
  </si>
  <si>
    <t>Vybavení kanceláří a DHM (drobný hmotný majetek)</t>
  </si>
  <si>
    <t>Kancelářské potřeby, knihy, časopisy, tiskopisy a ostatní drobný hmotný majetek mimo počítačového vybavení</t>
  </si>
  <si>
    <t>Režijní výdaje</t>
  </si>
  <si>
    <t>Poplatky za mobilní telefony, internet apod. pro 2 FTE</t>
  </si>
  <si>
    <t>Náklady na cestovné - tuzemské i zahraniční</t>
  </si>
  <si>
    <t>Účast na tématických konferencích, workshopech, seminářích atd. pro 2 FTE</t>
  </si>
  <si>
    <t>Náklady na marketing a propagaci</t>
  </si>
  <si>
    <t>Nákup propagačních předmětů, propagace jednotlivých akcí, výroba plakátů, videí, soutěží atd.</t>
  </si>
  <si>
    <t>Catering k akcím</t>
  </si>
  <si>
    <t>Catering k pořádaným akcím (opendata beer, GolemI/O apod.)</t>
  </si>
  <si>
    <t>Obnova vybavení</t>
  </si>
  <si>
    <t>1/3 ročně z hodnoty položek AV technika, atypický nábytek a typový nábytek (na základě 3letého odepisování majetku)</t>
  </si>
  <si>
    <t>bez investic KCP</t>
  </si>
  <si>
    <t>bez DPH</t>
  </si>
  <si>
    <t>s DPH</t>
  </si>
  <si>
    <t>Měsíc</t>
  </si>
  <si>
    <t>Vybavení</t>
  </si>
  <si>
    <t>Kauce</t>
  </si>
  <si>
    <t>Nájem</t>
  </si>
  <si>
    <t>Interní služby</t>
  </si>
  <si>
    <t>Personální náklady</t>
  </si>
  <si>
    <t>Vybavení - drobné</t>
  </si>
  <si>
    <t>Režijní náklady</t>
  </si>
  <si>
    <t>Cestovné</t>
  </si>
  <si>
    <t>Marketing</t>
  </si>
  <si>
    <t>Catering</t>
  </si>
  <si>
    <t>Celkem</t>
  </si>
  <si>
    <t>31.01.2023</t>
  </si>
  <si>
    <t>28.02.2023</t>
  </si>
  <si>
    <t>31.03.2023</t>
  </si>
  <si>
    <t>30.04.2023</t>
  </si>
  <si>
    <t>31.05.2023</t>
  </si>
  <si>
    <t>30.06.2023</t>
  </si>
  <si>
    <t>31.07.2023</t>
  </si>
  <si>
    <t>31.08.2023</t>
  </si>
  <si>
    <t>30.09.2023</t>
  </si>
  <si>
    <t>31.10.2023</t>
  </si>
  <si>
    <t>30.11.2023</t>
  </si>
  <si>
    <t>31.12.2023</t>
  </si>
  <si>
    <t>Celkem 2023</t>
  </si>
  <si>
    <t>31.01.2024</t>
  </si>
  <si>
    <t>29.02.2024</t>
  </si>
  <si>
    <t>31.03.2024</t>
  </si>
  <si>
    <t>30.04.2024</t>
  </si>
  <si>
    <t>31.05.2024</t>
  </si>
  <si>
    <t>30.06.2024</t>
  </si>
  <si>
    <t>31.07.2024</t>
  </si>
  <si>
    <t>31.08.2024</t>
  </si>
  <si>
    <t>30.09.2024</t>
  </si>
  <si>
    <t>31.10.2024</t>
  </si>
  <si>
    <t>30.11.2024</t>
  </si>
  <si>
    <t>31.12.2024</t>
  </si>
  <si>
    <t>Celkem 2024</t>
  </si>
  <si>
    <t>31.01.2025</t>
  </si>
  <si>
    <t>28.02.2025</t>
  </si>
  <si>
    <t>31.03.2025</t>
  </si>
  <si>
    <t>30.04.2025</t>
  </si>
  <si>
    <t>31.05.2025</t>
  </si>
  <si>
    <t>30.06.2025</t>
  </si>
  <si>
    <t>31.07.2025</t>
  </si>
  <si>
    <t>31.08.2025</t>
  </si>
  <si>
    <t>30.09.2025</t>
  </si>
  <si>
    <t>31.10.2025</t>
  </si>
  <si>
    <t>30.11.2025</t>
  </si>
  <si>
    <t>31.12.2025</t>
  </si>
  <si>
    <t>Celkem 2025</t>
  </si>
  <si>
    <t>31.01.2026</t>
  </si>
  <si>
    <t>28.02.2026</t>
  </si>
  <si>
    <t>31.03.2026</t>
  </si>
  <si>
    <t>30.04.2026</t>
  </si>
  <si>
    <t>31.05.2026</t>
  </si>
  <si>
    <t>30.06.2026</t>
  </si>
  <si>
    <t>31.07.2026</t>
  </si>
  <si>
    <t>31.08.2026</t>
  </si>
  <si>
    <t>30.09.2026</t>
  </si>
  <si>
    <t>31.10.2026</t>
  </si>
  <si>
    <t>30.11.2026</t>
  </si>
  <si>
    <t>31.12.2026</t>
  </si>
  <si>
    <t>Celkem 2026</t>
  </si>
  <si>
    <t>Celkem 2022 - 2026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</si>
</sst>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Times New Roman"/>
      <family val="1"/>
      <charset val="238"/>
    </font>
    <font>
      <u/>
      <sz val="10"/>
      <color rgb="FF0000FF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 applyBorder="0" applyProtection="0"/>
    <xf numFmtId="9" fontId="7" fillId="0" borderId="0" applyFont="0" applyFill="0" applyBorder="0" applyAlignment="0" applyProtection="0"/>
  </cellStyleXfs>
  <cellXfs count="52">
    <xf numFmtId="0" fontId="0" fillId="0" borderId="0" xfId="0"/>
    <xf numFmtId="0" fontId="0" fillId="0" borderId="6" xfId="0" applyBorder="1" applyAlignment="1">
      <alignment horizontal="center"/>
    </xf>
    <xf numFmtId="3" fontId="0" fillId="0" borderId="0" xfId="0" applyNumberFormat="1"/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/>
    <xf numFmtId="0" fontId="2" fillId="2" borderId="8" xfId="0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0" fillId="0" borderId="4" xfId="0" applyNumberFormat="1" applyBorder="1"/>
    <xf numFmtId="164" fontId="0" fillId="0" borderId="6" xfId="0" applyNumberFormat="1" applyBorder="1"/>
    <xf numFmtId="164" fontId="1" fillId="2" borderId="8" xfId="0" applyNumberFormat="1" applyFont="1" applyFill="1" applyBorder="1"/>
    <xf numFmtId="164" fontId="0" fillId="0" borderId="6" xfId="0" applyNumberFormat="1" applyBorder="1" applyAlignment="1">
      <alignment horizontal="right"/>
    </xf>
    <xf numFmtId="0" fontId="0" fillId="0" borderId="4" xfId="0" applyBorder="1" applyAlignment="1">
      <alignment horizontal="center"/>
    </xf>
    <xf numFmtId="164" fontId="2" fillId="2" borderId="8" xfId="0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164" fontId="1" fillId="0" borderId="10" xfId="0" applyNumberFormat="1" applyFont="1" applyBorder="1"/>
    <xf numFmtId="0" fontId="0" fillId="0" borderId="11" xfId="0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64" fontId="1" fillId="0" borderId="2" xfId="0" applyNumberFormat="1" applyFont="1" applyBorder="1"/>
    <xf numFmtId="0" fontId="0" fillId="0" borderId="13" xfId="0" applyBorder="1" applyAlignment="1">
      <alignment horizontal="left" wrapText="1"/>
    </xf>
    <xf numFmtId="0" fontId="1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" fillId="0" borderId="14" xfId="0" applyFont="1" applyBorder="1" applyAlignment="1">
      <alignment horizontal="center"/>
    </xf>
    <xf numFmtId="3" fontId="0" fillId="0" borderId="15" xfId="0" applyNumberFormat="1" applyBorder="1" applyAlignment="1">
      <alignment wrapText="1"/>
    </xf>
    <xf numFmtId="3" fontId="0" fillId="0" borderId="12" xfId="0" applyNumberFormat="1" applyBorder="1" applyAlignment="1">
      <alignment wrapText="1"/>
    </xf>
    <xf numFmtId="0" fontId="0" fillId="0" borderId="12" xfId="0" applyBorder="1" applyAlignment="1">
      <alignment wrapText="1"/>
    </xf>
    <xf numFmtId="0" fontId="1" fillId="2" borderId="9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0" xfId="0" applyAlignment="1">
      <alignment wrapText="1"/>
    </xf>
    <xf numFmtId="9" fontId="6" fillId="0" borderId="2" xfId="4" applyFont="1" applyFill="1" applyBorder="1" applyAlignment="1">
      <alignment horizontal="center"/>
    </xf>
    <xf numFmtId="9" fontId="6" fillId="0" borderId="10" xfId="4" applyFont="1" applyFill="1" applyBorder="1" applyAlignment="1">
      <alignment horizontal="center"/>
    </xf>
    <xf numFmtId="164" fontId="0" fillId="0" borderId="0" xfId="0" applyNumberFormat="1"/>
    <xf numFmtId="14" fontId="0" fillId="0" borderId="0" xfId="0" applyNumberFormat="1"/>
    <xf numFmtId="3" fontId="1" fillId="0" borderId="0" xfId="0" applyNumberFormat="1" applyFont="1"/>
    <xf numFmtId="3" fontId="1" fillId="3" borderId="0" xfId="0" applyNumberFormat="1" applyFont="1" applyFill="1"/>
    <xf numFmtId="3" fontId="1" fillId="4" borderId="0" xfId="0" applyNumberFormat="1" applyFont="1" applyFill="1"/>
    <xf numFmtId="0" fontId="0" fillId="4" borderId="0" xfId="0" applyFill="1"/>
    <xf numFmtId="0" fontId="0" fillId="3" borderId="0" xfId="0" applyFill="1"/>
    <xf numFmtId="0" fontId="1" fillId="0" borderId="0" xfId="0" applyFont="1"/>
    <xf numFmtId="0" fontId="1" fillId="5" borderId="16" xfId="0" applyFont="1" applyFill="1" applyBorder="1" applyAlignment="1">
      <alignment horizontal="center"/>
    </xf>
    <xf numFmtId="3" fontId="1" fillId="4" borderId="17" xfId="0" applyNumberFormat="1" applyFont="1" applyFill="1" applyBorder="1"/>
    <xf numFmtId="3" fontId="1" fillId="3" borderId="18" xfId="0" applyNumberFormat="1" applyFont="1" applyFill="1" applyBorder="1"/>
  </cellXfs>
  <cellStyles count="5">
    <cellStyle name="Hypertextový odkaz 2" xfId="3" xr:uid="{143935C6-8DFE-4E5C-8F94-75F985B1E4B9}"/>
    <cellStyle name="Normální" xfId="0" builtinId="0"/>
    <cellStyle name="Normální 2" xfId="2" xr:uid="{D244B6A6-B06D-4FE6-A267-761C377811BD}"/>
    <cellStyle name="Procenta" xfId="4" builtinId="5"/>
    <cellStyle name="Vysvětlující text 2" xfId="1" xr:uid="{1CF71A25-E364-4E6E-A7C3-C43A6E01AD3D}"/>
  </cellStyles>
  <dxfs count="69">
    <dxf>
      <font>
        <b/>
      </font>
      <numFmt numFmtId="3" formatCode="#,##0"/>
    </dxf>
    <dxf>
      <font>
        <b/>
      </font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</font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</font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</font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9" formatCode="dd/mm/yyyy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98A47A-8362-4B95-A6CC-E292E2164004}" name="Tabulka1" displayName="Tabulka1" ref="A5:N53" totalsRowShown="0" headerRowDxfId="68">
  <autoFilter ref="A5:N53" xr:uid="{AA98A47A-8362-4B95-A6CC-E292E2164004}"/>
  <tableColumns count="14">
    <tableColumn id="1" xr3:uid="{C044298E-668F-435A-9481-CD680C0B27EC}" name="Měsíc" dataDxfId="67"/>
    <tableColumn id="2" xr3:uid="{12C4F405-01F4-4D35-8FCA-78CE5FC62D30}" name="Stavba" dataDxfId="66"/>
    <tableColumn id="3" xr3:uid="{6C5BB7C7-944E-4BB8-935D-AB58091AF70C}" name="Vybavení" dataDxfId="65"/>
    <tableColumn id="4" xr3:uid="{40A4C428-112D-4FF6-8B90-71CFE49CD7E5}" name="Kauce" dataDxfId="64"/>
    <tableColumn id="5" xr3:uid="{DC8911B2-261F-413B-83D2-588A99642589}" name="Nájem" dataDxfId="63">
      <calculatedColumnFormula>Datahub!$E$17</calculatedColumnFormula>
    </tableColumn>
    <tableColumn id="6" xr3:uid="{C77AC427-9BAE-4DDB-84DE-5C0832D80AC7}" name="Interní služby" dataDxfId="62">
      <calculatedColumnFormula>Datahub!$E$14</calculatedColumnFormula>
    </tableColumn>
    <tableColumn id="7" xr3:uid="{17CEDCEC-D6B9-44CF-BA04-B40D502836ED}" name="Personální náklady" dataDxfId="61">
      <calculatedColumnFormula>Datahub!$E$15+Datahub!$E$16</calculatedColumnFormula>
    </tableColumn>
    <tableColumn id="8" xr3:uid="{9B7262F7-6B15-4522-B45F-EC4D670AD6B1}" name="Vybavení - drobné" dataDxfId="60"/>
    <tableColumn id="9" xr3:uid="{96388635-206B-4EA1-8F09-FE6DAC937772}" name="Režijní náklady" dataDxfId="59">
      <calculatedColumnFormula>Datahub!$E$21</calculatedColumnFormula>
    </tableColumn>
    <tableColumn id="10" xr3:uid="{CB275F3D-FEBC-4517-84D3-0FB5072348D8}" name="Cestovné" dataDxfId="58"/>
    <tableColumn id="11" xr3:uid="{5EC5DB2F-10A2-4CE5-9700-CF4BC25096C8}" name="Marketing" dataDxfId="57">
      <calculatedColumnFormula>Datahub!$E$23/12</calculatedColumnFormula>
    </tableColumn>
    <tableColumn id="12" xr3:uid="{F67AC0DB-6886-4945-98B1-8C2F1FC9A1D6}" name="Catering" dataDxfId="56">
      <calculatedColumnFormula>Datahub!$E$24/12</calculatedColumnFormula>
    </tableColumn>
    <tableColumn id="13" xr3:uid="{4D0FE7A0-546A-4D23-A388-2E60C5F4548B}" name="Obnova vybavení" dataDxfId="55">
      <calculatedColumnFormula>Datahub!$F$25/12</calculatedColumnFormula>
    </tableColumn>
    <tableColumn id="14" xr3:uid="{90718D3B-FD8F-4BAD-9A2E-68E31E47CC7F}" name="Celkem" dataDxfId="54">
      <calculatedColumnFormula>SUM(Tabulka1[[#This Row],[Stavba]:[Obnova vybavení]])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9A3C9D5-827A-41A3-96ED-9B53D5421044}" name="Tabulka4" displayName="Tabulka4" ref="A6:BB18" totalsRowShown="0">
  <autoFilter ref="A6:BB18" xr:uid="{89A3C9D5-827A-41A3-96ED-9B53D5421044}"/>
  <tableColumns count="54">
    <tableColumn id="1" xr3:uid="{87ED086D-1117-42D5-8730-A4B83CB08B25}" name="Měsíc" dataDxfId="53"/>
    <tableColumn id="8" xr3:uid="{E1654526-2DD1-4B3C-A8FC-7F0F26CF00AC}" name="31.01.2023" dataDxfId="52"/>
    <tableColumn id="9" xr3:uid="{A3D830B9-48B8-4A29-976B-D3E9535CA53F}" name="28.02.2023" dataDxfId="51"/>
    <tableColumn id="10" xr3:uid="{E1E8D7A2-3E16-4C42-BD52-33228CD3CE7B}" name="31.03.2023" dataDxfId="50"/>
    <tableColumn id="11" xr3:uid="{2FD02DF6-F002-412E-AFB2-5F35A233BFE7}" name="30.04.2023" dataDxfId="49"/>
    <tableColumn id="12" xr3:uid="{AA24B969-58B1-47F0-9E26-0BFC10245CB3}" name="31.05.2023" dataDxfId="48"/>
    <tableColumn id="13" xr3:uid="{E0A0CB1B-1F94-49EE-8183-F0F295EE0E26}" name="30.06.2023" dataDxfId="47"/>
    <tableColumn id="14" xr3:uid="{D1BA9EE0-98E5-4D26-A5DA-2BBFF873B250}" name="31.07.2023" dataDxfId="46"/>
    <tableColumn id="15" xr3:uid="{6B5EAE1C-6B52-4B17-A87C-A2C3CC9582F3}" name="31.08.2023" dataDxfId="45"/>
    <tableColumn id="16" xr3:uid="{0721750C-7AED-4968-BFDC-6838B4F05657}" name="30.09.2023" dataDxfId="44"/>
    <tableColumn id="17" xr3:uid="{ADA8DF8C-073C-496D-8279-F15E2376FA3E}" name="31.10.2023" dataDxfId="43"/>
    <tableColumn id="18" xr3:uid="{36935409-EEA8-4D7C-96DA-F96360B5FFFD}" name="30.11.2023" dataDxfId="42"/>
    <tableColumn id="19" xr3:uid="{9BC10616-1F4F-4D46-8479-B57BBDB33D14}" name="31.12.2023" dataDxfId="41"/>
    <tableColumn id="20" xr3:uid="{1C3A1853-366F-488E-AB5E-8B2F1B6021DF}" name="Celkem 2023" dataDxfId="40">
      <calculatedColumnFormula>SUM(B7:M7)</calculatedColumnFormula>
    </tableColumn>
    <tableColumn id="21" xr3:uid="{0DCDE91C-B56E-4D58-9913-3B87B1B39051}" name="31.01.2024" dataDxfId="39"/>
    <tableColumn id="22" xr3:uid="{B665235B-1EAD-410B-A996-62E4E7A2138B}" name="29.02.2024" dataDxfId="38"/>
    <tableColumn id="23" xr3:uid="{0D8DF347-401F-41CB-94D7-D9C5EF4E353F}" name="31.03.2024" dataDxfId="37"/>
    <tableColumn id="24" xr3:uid="{8399B158-11E3-4963-B28E-46D1F535288A}" name="30.04.2024" dataDxfId="36"/>
    <tableColumn id="25" xr3:uid="{A48D1A6B-39F7-4F93-A758-B8E89FAA0A47}" name="31.05.2024" dataDxfId="35"/>
    <tableColumn id="26" xr3:uid="{D31ED8BC-46A5-4D2C-814C-5A962F0D2BD0}" name="30.06.2024" dataDxfId="34"/>
    <tableColumn id="27" xr3:uid="{538493F8-5303-4CBF-8461-B608763ACA58}" name="31.07.2024" dataDxfId="33"/>
    <tableColumn id="28" xr3:uid="{E58067A6-90B3-4BCB-BB5E-21E042CB6BFE}" name="31.08.2024" dataDxfId="32"/>
    <tableColumn id="29" xr3:uid="{1755ECE1-7369-4539-AA52-F16FAF169B1B}" name="30.09.2024" dataDxfId="31"/>
    <tableColumn id="30" xr3:uid="{2F52FCA7-64CE-41E0-9DF4-F723A7D8501B}" name="31.10.2024" dataDxfId="30"/>
    <tableColumn id="31" xr3:uid="{D624CC4C-BB36-471E-B084-0CDCEB34FC24}" name="30.11.2024" dataDxfId="29"/>
    <tableColumn id="32" xr3:uid="{E130C5D8-9779-481A-855E-9B32590A1CE4}" name="31.12.2024" dataDxfId="28"/>
    <tableColumn id="33" xr3:uid="{646E0D87-15E3-4A21-AFA6-17568446843E}" name="Celkem 2024" dataDxfId="27">
      <calculatedColumnFormula>SUM(O7:Z7)</calculatedColumnFormula>
    </tableColumn>
    <tableColumn id="34" xr3:uid="{134091B6-12C7-4444-9342-D00E8FCEE7F9}" name="31.01.2025" dataDxfId="26"/>
    <tableColumn id="35" xr3:uid="{D0BD0137-6B31-485E-8CB7-5C1D432E1CA9}" name="28.02.2025" dataDxfId="25"/>
    <tableColumn id="36" xr3:uid="{01EA1DE9-41AD-4B0D-A624-15317D2DECAD}" name="31.03.2025" dataDxfId="24"/>
    <tableColumn id="37" xr3:uid="{9DD7BD16-DEAD-4E45-8D16-87F2D90F5215}" name="30.04.2025" dataDxfId="23"/>
    <tableColumn id="38" xr3:uid="{012FF90D-656E-435E-B1E5-EEFF3F9BFA81}" name="31.05.2025" dataDxfId="22"/>
    <tableColumn id="39" xr3:uid="{A686350A-29DC-4F85-92ED-E532D7EBE60A}" name="30.06.2025" dataDxfId="21"/>
    <tableColumn id="40" xr3:uid="{9D2E0999-10F6-45AE-817D-FFDD1DE1D24A}" name="31.07.2025" dataDxfId="20"/>
    <tableColumn id="41" xr3:uid="{59071F8C-D0F5-4443-BC87-6557B50ABDC0}" name="31.08.2025" dataDxfId="19"/>
    <tableColumn id="42" xr3:uid="{F45DF659-2AD6-4E60-8095-413BD7649F5D}" name="30.09.2025" dataDxfId="18"/>
    <tableColumn id="43" xr3:uid="{058C3B32-C5C0-46D3-BE8F-90CE34442D3B}" name="31.10.2025" dataDxfId="17"/>
    <tableColumn id="44" xr3:uid="{4CED2E26-BFD1-4547-B685-05264B8C035D}" name="30.11.2025" dataDxfId="16"/>
    <tableColumn id="45" xr3:uid="{ABFD45AC-8C99-45D1-87D6-5C0F7B8B7715}" name="31.12.2025" dataDxfId="15"/>
    <tableColumn id="46" xr3:uid="{91609381-665C-49BB-AEF4-49A2C3BE8F88}" name="Celkem 2025" dataDxfId="14">
      <calculatedColumnFormula>SUM(AB7:AM7)</calculatedColumnFormula>
    </tableColumn>
    <tableColumn id="47" xr3:uid="{22671B18-47DB-4EFC-B7A7-3857774F7F53}" name="31.01.2026" dataDxfId="13"/>
    <tableColumn id="48" xr3:uid="{07917755-11B1-43D5-9E4E-BF1D5807943F}" name="28.02.2026" dataDxfId="12"/>
    <tableColumn id="49" xr3:uid="{8F2EBD50-2B51-4776-8899-20626A93449D}" name="31.03.2026" dataDxfId="11"/>
    <tableColumn id="50" xr3:uid="{FEFD4402-0CD2-4421-96EB-2DF897BC4A01}" name="30.04.2026" dataDxfId="10"/>
    <tableColumn id="51" xr3:uid="{C2B6425E-E3A3-49CC-A9E3-65E8F70817AD}" name="31.05.2026" dataDxfId="9"/>
    <tableColumn id="52" xr3:uid="{5F6FAE7C-CBAF-4FFB-BB63-6835D63717A6}" name="30.06.2026" dataDxfId="8"/>
    <tableColumn id="53" xr3:uid="{D5E12EC4-FF33-47D4-9F1F-E94FB62450CF}" name="31.07.2026" dataDxfId="7"/>
    <tableColumn id="54" xr3:uid="{4E5E2A83-A278-4C6A-8232-B920A63444B1}" name="31.08.2026" dataDxfId="6"/>
    <tableColumn id="55" xr3:uid="{BE39E26A-7EF9-4F7D-B992-D9C600202FAD}" name="30.09.2026" dataDxfId="5"/>
    <tableColumn id="56" xr3:uid="{51097BC9-467A-40EF-85A4-9530E581E591}" name="31.10.2026" dataDxfId="4"/>
    <tableColumn id="57" xr3:uid="{34D7AD0F-698A-4E04-AAFE-AF9AE34E6420}" name="30.11.2026" dataDxfId="3"/>
    <tableColumn id="58" xr3:uid="{C63B3146-2EC9-4ADD-9D69-4371A0F11D07}" name="31.12.2026" dataDxfId="2"/>
    <tableColumn id="59" xr3:uid="{12776543-97F2-47A5-B0CC-C30721E3AB44}" name="Celkem 2026" dataDxfId="1">
      <calculatedColumnFormula>SUM(AO7:AZ7)</calculatedColumnFormula>
    </tableColumn>
    <tableColumn id="60" xr3:uid="{5B247F32-F7B5-458A-A849-2A3F528C7FBF}" name="Celkem 2022 - 2026" dataDxfId="0">
      <calculatedColumnFormula>Tabulka4[[#This Row],[Celkem 2023]]+Tabulka4[[#This Row],[Celkem 2024]]+Tabulka4[[#This Row],[Celkem 2025]]+Tabulka4[[#This Row],[Celkem 2026]]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5AC1-36D6-440B-ACFA-436DA5934F4F}">
  <dimension ref="A1:K28"/>
  <sheetViews>
    <sheetView tabSelected="1" zoomScale="90" zoomScaleNormal="90"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baseColWidth="10" defaultColWidth="8.6640625" defaultRowHeight="15" outlineLevelCol="1"/>
  <cols>
    <col min="1" max="1" width="42.5" style="38" customWidth="1"/>
    <col min="2" max="2" width="14.6640625" bestFit="1" customWidth="1"/>
    <col min="3" max="3" width="20.1640625" hidden="1" customWidth="1" outlineLevel="1"/>
    <col min="4" max="4" width="16.6640625" bestFit="1" customWidth="1" collapsed="1"/>
    <col min="5" max="5" width="20.1640625" customWidth="1"/>
    <col min="6" max="6" width="24" customWidth="1"/>
    <col min="7" max="7" width="22.5" bestFit="1" customWidth="1"/>
    <col min="8" max="8" width="70.33203125" customWidth="1"/>
    <col min="10" max="10" width="10.6640625" bestFit="1" customWidth="1"/>
    <col min="11" max="11" width="16.6640625" customWidth="1"/>
  </cols>
  <sheetData>
    <row r="1" spans="1:11" ht="33" thickBot="1">
      <c r="A1" s="33" t="s">
        <v>0</v>
      </c>
      <c r="B1" s="5" t="s">
        <v>1</v>
      </c>
      <c r="C1" s="6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24" t="s">
        <v>7</v>
      </c>
    </row>
    <row r="2" spans="1:11" ht="37.5" customHeight="1" thickBot="1">
      <c r="A2" s="34" t="s">
        <v>8</v>
      </c>
      <c r="B2" s="8"/>
      <c r="C2" s="8"/>
      <c r="D2" s="8"/>
      <c r="E2" s="9"/>
      <c r="F2" s="15">
        <f>(SUM(F3+F13))</f>
        <v>29706589.83666667</v>
      </c>
      <c r="G2" s="15">
        <f>F2*1.21</f>
        <v>35944973.702366672</v>
      </c>
      <c r="H2" s="25"/>
    </row>
    <row r="3" spans="1:11" ht="30" customHeight="1" thickBot="1">
      <c r="A3" s="35" t="s">
        <v>9</v>
      </c>
      <c r="B3" s="7"/>
      <c r="C3" s="7"/>
      <c r="D3" s="7"/>
      <c r="E3" s="12"/>
      <c r="F3" s="12">
        <f>SUM(F4:F12)</f>
        <v>20434023.170000002</v>
      </c>
      <c r="G3" s="12">
        <f>F3*1.21</f>
        <v>24725168.035700001</v>
      </c>
      <c r="H3" s="26"/>
    </row>
    <row r="4" spans="1:11" ht="30" customHeight="1">
      <c r="A4" s="36" t="s">
        <v>10</v>
      </c>
      <c r="B4" s="16" t="s">
        <v>11</v>
      </c>
      <c r="C4" s="17"/>
      <c r="D4" s="40">
        <v>0.15</v>
      </c>
      <c r="E4" s="18"/>
      <c r="F4" s="18">
        <f>SUM(F5:F12)*D4</f>
        <v>2665307.37</v>
      </c>
      <c r="G4" s="18"/>
      <c r="H4" s="19"/>
    </row>
    <row r="5" spans="1:11" ht="30" customHeight="1" thickBot="1">
      <c r="A5" s="37" t="s">
        <v>12</v>
      </c>
      <c r="B5" s="20" t="s">
        <v>11</v>
      </c>
      <c r="C5" s="21"/>
      <c r="D5" s="39">
        <v>0.1</v>
      </c>
      <c r="E5" s="22"/>
      <c r="F5" s="22">
        <f>(F6+F7+F8+F12)*D5</f>
        <v>1011037.8</v>
      </c>
      <c r="G5" s="22"/>
      <c r="H5" s="23" t="s">
        <v>13</v>
      </c>
    </row>
    <row r="6" spans="1:11" ht="30" customHeight="1">
      <c r="A6" s="3" t="s">
        <v>14</v>
      </c>
      <c r="B6" s="14" t="s">
        <v>15</v>
      </c>
      <c r="C6" s="14"/>
      <c r="D6" s="14">
        <v>1</v>
      </c>
      <c r="E6" s="10">
        <v>415000</v>
      </c>
      <c r="F6" s="10">
        <f>E6*D6</f>
        <v>415000</v>
      </c>
      <c r="G6" s="10"/>
      <c r="H6" s="27" t="s">
        <v>16</v>
      </c>
    </row>
    <row r="7" spans="1:11" ht="30" customHeight="1">
      <c r="A7" s="4" t="s">
        <v>17</v>
      </c>
      <c r="B7" s="1" t="s">
        <v>15</v>
      </c>
      <c r="C7" s="1"/>
      <c r="D7" s="1">
        <v>1</v>
      </c>
      <c r="E7" s="11">
        <v>3858000</v>
      </c>
      <c r="F7" s="10">
        <f t="shared" ref="F7:F12" si="0">E7*D7</f>
        <v>3858000</v>
      </c>
      <c r="G7" s="11"/>
      <c r="H7" s="28" t="s">
        <v>18</v>
      </c>
    </row>
    <row r="8" spans="1:11" ht="30" customHeight="1">
      <c r="A8" s="4" t="s">
        <v>19</v>
      </c>
      <c r="B8" s="1" t="s">
        <v>15</v>
      </c>
      <c r="C8" s="1"/>
      <c r="D8" s="1">
        <v>1</v>
      </c>
      <c r="E8" s="11">
        <v>4668750</v>
      </c>
      <c r="F8" s="10">
        <f t="shared" si="0"/>
        <v>4668750</v>
      </c>
      <c r="G8" s="11"/>
      <c r="H8" s="28" t="s">
        <v>20</v>
      </c>
    </row>
    <row r="9" spans="1:11" ht="30" customHeight="1">
      <c r="A9" s="4" t="s">
        <v>21</v>
      </c>
      <c r="B9" s="1" t="s">
        <v>15</v>
      </c>
      <c r="C9" s="1"/>
      <c r="D9" s="1">
        <v>1</v>
      </c>
      <c r="E9" s="11">
        <v>3762000</v>
      </c>
      <c r="F9" s="10">
        <f t="shared" si="0"/>
        <v>3762000</v>
      </c>
      <c r="G9" s="11"/>
      <c r="H9" s="28" t="s">
        <v>22</v>
      </c>
    </row>
    <row r="10" spans="1:11" ht="30" customHeight="1">
      <c r="A10" s="4" t="s">
        <v>23</v>
      </c>
      <c r="B10" s="1" t="s">
        <v>15</v>
      </c>
      <c r="C10" s="1"/>
      <c r="D10" s="1">
        <v>1</v>
      </c>
      <c r="E10" s="11">
        <v>1654400.0000000002</v>
      </c>
      <c r="F10" s="10">
        <f t="shared" si="0"/>
        <v>1654400.0000000002</v>
      </c>
      <c r="G10" s="11"/>
      <c r="H10" s="28" t="s">
        <v>24</v>
      </c>
      <c r="K10" s="41"/>
    </row>
    <row r="11" spans="1:11" ht="30" customHeight="1">
      <c r="A11" s="4" t="s">
        <v>25</v>
      </c>
      <c r="B11" s="1" t="s">
        <v>15</v>
      </c>
      <c r="C11" s="1"/>
      <c r="D11" s="1">
        <v>1</v>
      </c>
      <c r="E11" s="11">
        <v>1230900</v>
      </c>
      <c r="F11" s="10">
        <f t="shared" si="0"/>
        <v>1230900</v>
      </c>
      <c r="G11" s="11"/>
      <c r="H11" s="28" t="s">
        <v>26</v>
      </c>
    </row>
    <row r="12" spans="1:11" ht="30" customHeight="1" thickBot="1">
      <c r="A12" s="3" t="s">
        <v>27</v>
      </c>
      <c r="B12" s="14" t="s">
        <v>15</v>
      </c>
      <c r="C12" s="14"/>
      <c r="D12" s="14">
        <v>1</v>
      </c>
      <c r="E12" s="10">
        <v>1168628</v>
      </c>
      <c r="F12" s="10">
        <f t="shared" si="0"/>
        <v>1168628</v>
      </c>
      <c r="G12" s="10"/>
      <c r="H12" s="27" t="s">
        <v>28</v>
      </c>
    </row>
    <row r="13" spans="1:11" ht="30" customHeight="1" thickBot="1">
      <c r="A13" s="35" t="s">
        <v>29</v>
      </c>
      <c r="B13" s="7"/>
      <c r="C13" s="7"/>
      <c r="D13" s="7"/>
      <c r="E13" s="12"/>
      <c r="F13" s="12">
        <f>SUM(F14:F25)</f>
        <v>9272566.6666666679</v>
      </c>
      <c r="G13" s="12">
        <f>F13*1.21</f>
        <v>11219805.666666668</v>
      </c>
      <c r="H13" s="29"/>
    </row>
    <row r="14" spans="1:11" ht="45" customHeight="1">
      <c r="A14" s="3" t="s">
        <v>30</v>
      </c>
      <c r="B14" s="14" t="s">
        <v>31</v>
      </c>
      <c r="C14" s="14"/>
      <c r="D14" s="14">
        <v>12</v>
      </c>
      <c r="E14" s="10">
        <v>138000</v>
      </c>
      <c r="F14" s="10">
        <f t="shared" ref="F14:F23" si="1">E14*D14</f>
        <v>1656000</v>
      </c>
      <c r="G14" s="10"/>
      <c r="H14" s="27" t="s">
        <v>32</v>
      </c>
    </row>
    <row r="15" spans="1:11" ht="40.25" customHeight="1">
      <c r="A15" s="3" t="s">
        <v>33</v>
      </c>
      <c r="B15" s="14" t="s">
        <v>31</v>
      </c>
      <c r="C15" s="14">
        <v>1</v>
      </c>
      <c r="D15" s="14">
        <v>12</v>
      </c>
      <c r="E15" s="10">
        <f>100000*1.12*1.1</f>
        <v>123200.00000000003</v>
      </c>
      <c r="F15" s="10">
        <f t="shared" si="1"/>
        <v>1478400.0000000005</v>
      </c>
      <c r="G15" s="10"/>
      <c r="H15" s="30" t="s">
        <v>34</v>
      </c>
    </row>
    <row r="16" spans="1:11" ht="30" customHeight="1">
      <c r="A16" s="3" t="s">
        <v>35</v>
      </c>
      <c r="B16" s="1" t="s">
        <v>31</v>
      </c>
      <c r="C16" s="1">
        <v>1</v>
      </c>
      <c r="D16" s="1">
        <v>12</v>
      </c>
      <c r="E16" s="10">
        <f>100000*1.12*1.1</f>
        <v>123200.00000000003</v>
      </c>
      <c r="F16" s="10">
        <f t="shared" si="1"/>
        <v>1478400.0000000005</v>
      </c>
      <c r="G16" s="11"/>
      <c r="H16" s="30" t="s">
        <v>34</v>
      </c>
    </row>
    <row r="17" spans="1:8" ht="30" customHeight="1">
      <c r="A17" s="4" t="s">
        <v>36</v>
      </c>
      <c r="B17" s="1" t="s">
        <v>31</v>
      </c>
      <c r="C17" s="1"/>
      <c r="D17" s="1">
        <v>12</v>
      </c>
      <c r="E17" s="11">
        <v>155000</v>
      </c>
      <c r="F17" s="11">
        <f t="shared" si="1"/>
        <v>1860000</v>
      </c>
      <c r="G17" s="11"/>
      <c r="H17" s="31" t="s">
        <v>37</v>
      </c>
    </row>
    <row r="18" spans="1:8" ht="30" customHeight="1">
      <c r="A18" s="4" t="s">
        <v>38</v>
      </c>
      <c r="B18" s="1" t="s">
        <v>39</v>
      </c>
      <c r="C18" s="1"/>
      <c r="D18" s="1">
        <v>1</v>
      </c>
      <c r="E18" s="11">
        <v>-258000</v>
      </c>
      <c r="F18" s="11">
        <f t="shared" si="1"/>
        <v>-258000</v>
      </c>
      <c r="G18" s="11"/>
      <c r="H18" s="31" t="s">
        <v>40</v>
      </c>
    </row>
    <row r="19" spans="1:8" ht="30" customHeight="1">
      <c r="A19" s="4" t="s">
        <v>41</v>
      </c>
      <c r="B19" s="1" t="s">
        <v>39</v>
      </c>
      <c r="C19" s="1"/>
      <c r="D19" s="1">
        <v>1</v>
      </c>
      <c r="E19" s="11">
        <v>450000</v>
      </c>
      <c r="F19" s="11">
        <f t="shared" si="1"/>
        <v>450000</v>
      </c>
      <c r="G19" s="11"/>
      <c r="H19" s="31" t="s">
        <v>42</v>
      </c>
    </row>
    <row r="20" spans="1:8" ht="30" customHeight="1">
      <c r="A20" s="4" t="s">
        <v>43</v>
      </c>
      <c r="B20" s="1" t="s">
        <v>39</v>
      </c>
      <c r="C20" s="1"/>
      <c r="D20" s="1">
        <v>1</v>
      </c>
      <c r="E20" s="11">
        <v>20000</v>
      </c>
      <c r="F20" s="11">
        <f t="shared" si="1"/>
        <v>20000</v>
      </c>
      <c r="G20" s="11"/>
      <c r="H20" s="31" t="s">
        <v>44</v>
      </c>
    </row>
    <row r="21" spans="1:8" ht="20" customHeight="1">
      <c r="A21" s="4" t="s">
        <v>45</v>
      </c>
      <c r="B21" s="1" t="s">
        <v>31</v>
      </c>
      <c r="C21" s="1"/>
      <c r="D21" s="1">
        <v>12</v>
      </c>
      <c r="E21" s="11">
        <v>1000</v>
      </c>
      <c r="F21" s="11">
        <f t="shared" si="1"/>
        <v>12000</v>
      </c>
      <c r="G21" s="11"/>
      <c r="H21" s="31" t="s">
        <v>46</v>
      </c>
    </row>
    <row r="22" spans="1:8" ht="30" customHeight="1">
      <c r="A22" s="4" t="s">
        <v>47</v>
      </c>
      <c r="B22" s="1" t="s">
        <v>39</v>
      </c>
      <c r="C22" s="1"/>
      <c r="D22" s="1">
        <v>1</v>
      </c>
      <c r="E22" s="11">
        <v>10000</v>
      </c>
      <c r="F22" s="11">
        <f t="shared" si="1"/>
        <v>10000</v>
      </c>
      <c r="G22" s="11"/>
      <c r="H22" s="31" t="s">
        <v>48</v>
      </c>
    </row>
    <row r="23" spans="1:8" ht="30" customHeight="1">
      <c r="A23" s="4" t="s">
        <v>49</v>
      </c>
      <c r="B23" s="1" t="s">
        <v>39</v>
      </c>
      <c r="C23" s="1"/>
      <c r="D23" s="1">
        <v>1</v>
      </c>
      <c r="E23" s="11">
        <v>100000</v>
      </c>
      <c r="F23" s="11">
        <f t="shared" si="1"/>
        <v>100000</v>
      </c>
      <c r="G23" s="11"/>
      <c r="H23" s="31" t="s">
        <v>50</v>
      </c>
    </row>
    <row r="24" spans="1:8" ht="20" customHeight="1">
      <c r="A24" s="4" t="s">
        <v>51</v>
      </c>
      <c r="B24" s="1" t="s">
        <v>39</v>
      </c>
      <c r="C24" s="1"/>
      <c r="D24" s="1">
        <v>1</v>
      </c>
      <c r="E24" s="13">
        <v>250000</v>
      </c>
      <c r="F24" s="11">
        <f>E24*D24</f>
        <v>250000</v>
      </c>
      <c r="G24" s="11"/>
      <c r="H24" s="32" t="s">
        <v>52</v>
      </c>
    </row>
    <row r="25" spans="1:8" ht="32">
      <c r="A25" s="4" t="s">
        <v>53</v>
      </c>
      <c r="B25" s="1" t="s">
        <v>15</v>
      </c>
      <c r="C25" s="1"/>
      <c r="D25" s="1">
        <v>1</v>
      </c>
      <c r="E25" s="13">
        <f>SUM(E9:E11)/3</f>
        <v>2215766.6666666665</v>
      </c>
      <c r="F25" s="11">
        <f>E25</f>
        <v>2215766.6666666665</v>
      </c>
      <c r="G25" s="11"/>
      <c r="H25" s="32" t="s">
        <v>54</v>
      </c>
    </row>
    <row r="26" spans="1:8">
      <c r="E26" s="2"/>
      <c r="F26" s="2"/>
      <c r="G26" s="2"/>
    </row>
    <row r="27" spans="1:8">
      <c r="F27" s="41"/>
    </row>
    <row r="28" spans="1:8">
      <c r="F28" s="4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2CB2B-60E1-431D-A20A-8E54EE471EEE}">
  <dimension ref="A1:O53"/>
  <sheetViews>
    <sheetView workbookViewId="0">
      <pane ySplit="5" topLeftCell="A6" activePane="bottomLeft" state="frozen"/>
      <selection pane="bottomLeft" activeCell="E12" sqref="E12"/>
    </sheetView>
  </sheetViews>
  <sheetFormatPr baseColWidth="10" defaultColWidth="8.83203125" defaultRowHeight="15"/>
  <cols>
    <col min="1" max="1" width="10.1640625" bestFit="1" customWidth="1"/>
    <col min="2" max="2" width="10.83203125" style="2" bestFit="1" customWidth="1"/>
    <col min="3" max="3" width="11.1640625" style="2" bestFit="1" customWidth="1"/>
    <col min="4" max="4" width="8.33203125" style="2" bestFit="1" customWidth="1"/>
    <col min="5" max="5" width="8.6640625" style="2" bestFit="1" customWidth="1"/>
    <col min="6" max="6" width="14.5" style="2" bestFit="1" customWidth="1"/>
    <col min="7" max="7" width="19.33203125" style="2" bestFit="1" customWidth="1"/>
    <col min="8" max="8" width="18.83203125" style="2" bestFit="1" customWidth="1"/>
    <col min="9" max="9" width="15.83203125" style="2" bestFit="1" customWidth="1"/>
    <col min="10" max="10" width="11" style="2" bestFit="1" customWidth="1"/>
    <col min="11" max="11" width="11.83203125" style="2" bestFit="1" customWidth="1"/>
    <col min="12" max="12" width="10.33203125" style="2" bestFit="1" customWidth="1"/>
    <col min="13" max="13" width="18.1640625" style="2" bestFit="1" customWidth="1"/>
    <col min="14" max="14" width="14.33203125" customWidth="1"/>
    <col min="15" max="15" width="17.6640625" customWidth="1"/>
  </cols>
  <sheetData>
    <row r="1" spans="1:15">
      <c r="O1" s="49" t="s">
        <v>55</v>
      </c>
    </row>
    <row r="2" spans="1:15">
      <c r="A2" s="46" t="s">
        <v>56</v>
      </c>
      <c r="B2" s="43">
        <f>SUBTOTAL(9,Tabulka1[Stavba])</f>
        <v>12789628.17</v>
      </c>
      <c r="C2" s="43">
        <f>SUBTOTAL(9,Tabulka1[Vybavení])</f>
        <v>7644394.9999999991</v>
      </c>
      <c r="D2" s="43">
        <f>SUBTOTAL(9,Tabulka1[Kauce])</f>
        <v>450000</v>
      </c>
      <c r="E2" s="43">
        <f>SUBTOTAL(9,Tabulka1[Nájem])</f>
        <v>7130000</v>
      </c>
      <c r="F2" s="43">
        <f>SUBTOTAL(9,Tabulka1[Interní služby])</f>
        <v>5658000</v>
      </c>
      <c r="G2" s="43">
        <f>SUBTOTAL(9,Tabulka1[Personální náklady])</f>
        <v>10102400.000000002</v>
      </c>
      <c r="H2" s="43">
        <f>SUBTOTAL(9,Tabulka1[Vybavení - drobné])</f>
        <v>80000</v>
      </c>
      <c r="I2" s="43">
        <f>SUBTOTAL(9,Tabulka1[Režijní náklady])</f>
        <v>41000</v>
      </c>
      <c r="J2" s="43">
        <f>SUBTOTAL(9,Tabulka1[Cestovné])</f>
        <v>30000</v>
      </c>
      <c r="K2" s="43">
        <f>SUBTOTAL(9,Tabulka1[Marketing])</f>
        <v>399999.99999999983</v>
      </c>
      <c r="L2" s="43">
        <f>SUBTOTAL(9,Tabulka1[Catering])</f>
        <v>1000000.0000000006</v>
      </c>
      <c r="M2" s="43">
        <f>SUBTOTAL(9,Tabulka1[Obnova vybavení])</f>
        <v>6647299.9999999953</v>
      </c>
      <c r="N2" s="45">
        <f>SUM(B2:M2)</f>
        <v>51972723.169999994</v>
      </c>
      <c r="O2" s="50">
        <f>N2-3000000</f>
        <v>48972723.169999994</v>
      </c>
    </row>
    <row r="3" spans="1:15" ht="16" thickBot="1">
      <c r="A3" s="47" t="s">
        <v>57</v>
      </c>
      <c r="B3" s="43">
        <f>B2*1.21</f>
        <v>15475450.0857</v>
      </c>
      <c r="C3" s="43">
        <f t="shared" ref="C3:M3" si="0">C2*1.21</f>
        <v>9249717.9499999993</v>
      </c>
      <c r="D3" s="43">
        <f t="shared" si="0"/>
        <v>544500</v>
      </c>
      <c r="E3" s="43">
        <f t="shared" si="0"/>
        <v>8627300</v>
      </c>
      <c r="F3" s="43">
        <f t="shared" si="0"/>
        <v>6846180</v>
      </c>
      <c r="G3" s="43">
        <f t="shared" si="0"/>
        <v>12223904.000000002</v>
      </c>
      <c r="H3" s="43">
        <f t="shared" si="0"/>
        <v>96800</v>
      </c>
      <c r="I3" s="43">
        <f t="shared" si="0"/>
        <v>49610</v>
      </c>
      <c r="J3" s="43">
        <f t="shared" si="0"/>
        <v>36300</v>
      </c>
      <c r="K3" s="43">
        <f t="shared" si="0"/>
        <v>483999.99999999977</v>
      </c>
      <c r="L3" s="43">
        <f t="shared" si="0"/>
        <v>1210000.0000000007</v>
      </c>
      <c r="M3" s="43">
        <f t="shared" si="0"/>
        <v>8043232.9999999944</v>
      </c>
      <c r="N3" s="44">
        <f>N2*1.21</f>
        <v>62886995.035699993</v>
      </c>
      <c r="O3" s="51">
        <f>O2*1.21</f>
        <v>59256995.035699993</v>
      </c>
    </row>
    <row r="5" spans="1:15">
      <c r="A5" t="s">
        <v>58</v>
      </c>
      <c r="B5" s="2" t="s">
        <v>17</v>
      </c>
      <c r="C5" s="2" t="s">
        <v>59</v>
      </c>
      <c r="D5" s="2" t="s">
        <v>60</v>
      </c>
      <c r="E5" s="2" t="s">
        <v>61</v>
      </c>
      <c r="F5" s="2" t="s">
        <v>62</v>
      </c>
      <c r="G5" s="2" t="s">
        <v>63</v>
      </c>
      <c r="H5" s="2" t="s">
        <v>64</v>
      </c>
      <c r="I5" s="2" t="s">
        <v>65</v>
      </c>
      <c r="J5" s="2" t="s">
        <v>66</v>
      </c>
      <c r="K5" s="2" t="s">
        <v>67</v>
      </c>
      <c r="L5" s="2" t="s">
        <v>68</v>
      </c>
      <c r="M5" s="2" t="s">
        <v>53</v>
      </c>
      <c r="N5" s="2" t="s">
        <v>69</v>
      </c>
    </row>
    <row r="6" spans="1:15">
      <c r="A6" s="42">
        <v>44957</v>
      </c>
      <c r="D6" s="2">
        <f>Datahub!$F$19</f>
        <v>450000</v>
      </c>
      <c r="E6" s="2">
        <f>Datahub!$E$17</f>
        <v>155000</v>
      </c>
      <c r="N6" s="2">
        <f>SUM(Tabulka1[[#This Row],[Stavba]:[Obnova vybavení]])</f>
        <v>605000</v>
      </c>
    </row>
    <row r="7" spans="1:15">
      <c r="A7" s="42">
        <v>44985</v>
      </c>
      <c r="E7" s="2">
        <f>Datahub!$E$17</f>
        <v>155000</v>
      </c>
      <c r="N7" s="2">
        <f>SUM(Tabulka1[[#This Row],[Stavba]:[Obnova vybavení]])</f>
        <v>155000</v>
      </c>
    </row>
    <row r="8" spans="1:15">
      <c r="A8" s="42">
        <v>45016</v>
      </c>
      <c r="B8" s="2">
        <f>Datahub!$F$6*1.15*1.1</f>
        <v>524975</v>
      </c>
      <c r="N8" s="2">
        <f>SUM(Tabulka1[[#This Row],[Stavba]:[Obnova vybavení]])</f>
        <v>524975</v>
      </c>
    </row>
    <row r="9" spans="1:15">
      <c r="A9" s="42">
        <v>45046</v>
      </c>
      <c r="B9" s="2">
        <f>Datahub!$F$7*1.15*1.1</f>
        <v>4880370</v>
      </c>
      <c r="N9" s="2">
        <f>SUM(Tabulka1[[#This Row],[Stavba]:[Obnova vybavení]])</f>
        <v>4880370</v>
      </c>
    </row>
    <row r="10" spans="1:15">
      <c r="A10" s="42">
        <v>45077</v>
      </c>
      <c r="B10" s="2">
        <f>Datahub!$F$8*1.15*1.1</f>
        <v>5905968.7500000009</v>
      </c>
      <c r="E10" s="2">
        <f>Datahub!$E$17</f>
        <v>155000</v>
      </c>
      <c r="N10" s="2">
        <f>SUM(Tabulka1[[#This Row],[Stavba]:[Obnova vybavení]])</f>
        <v>6060968.7500000009</v>
      </c>
    </row>
    <row r="11" spans="1:15">
      <c r="A11" s="42">
        <v>45107</v>
      </c>
      <c r="B11" s="2">
        <f>Datahub!$F$12*1.15*1.1</f>
        <v>1478314.4200000002</v>
      </c>
      <c r="C11" s="2">
        <f>((Datahub!$F$9+Datahub!$F$10+Datahub!$F$11)*1.15)/2</f>
        <v>3822197.4999999995</v>
      </c>
      <c r="E11" s="2">
        <f>Datahub!$E$17</f>
        <v>155000</v>
      </c>
      <c r="N11" s="2">
        <f>SUM(Tabulka1[[#This Row],[Stavba]:[Obnova vybavení]])</f>
        <v>5455511.9199999999</v>
      </c>
    </row>
    <row r="12" spans="1:15">
      <c r="A12" s="42">
        <v>45138</v>
      </c>
      <c r="C12" s="2">
        <f>((Datahub!$F$9+Datahub!$F$10+Datahub!$F$11)*1.15)/2</f>
        <v>3822197.4999999995</v>
      </c>
      <c r="E12" s="2">
        <f>Datahub!$E$17</f>
        <v>155000</v>
      </c>
      <c r="N12" s="2">
        <f>SUM(Tabulka1[[#This Row],[Stavba]:[Obnova vybavení]])</f>
        <v>3977197.4999999995</v>
      </c>
    </row>
    <row r="13" spans="1:15">
      <c r="A13" s="42">
        <v>45169</v>
      </c>
      <c r="E13" s="2">
        <f>Datahub!$E$17</f>
        <v>155000</v>
      </c>
      <c r="F13" s="2">
        <f>Datahub!$E$14</f>
        <v>138000</v>
      </c>
      <c r="G13" s="2">
        <f>Datahub!$E$15+Datahub!$E$16</f>
        <v>246400.00000000006</v>
      </c>
      <c r="H13" s="2">
        <f>Datahub!$E$20</f>
        <v>20000</v>
      </c>
      <c r="I13" s="2">
        <f>Datahub!$E$21</f>
        <v>1000</v>
      </c>
      <c r="K13" s="2">
        <f>Datahub!$E$23/5</f>
        <v>20000</v>
      </c>
      <c r="L13" s="2">
        <f>Datahub!$E$24/5</f>
        <v>50000</v>
      </c>
      <c r="N13" s="2">
        <f>SUM(Tabulka1[[#This Row],[Stavba]:[Obnova vybavení]])</f>
        <v>630400</v>
      </c>
    </row>
    <row r="14" spans="1:15">
      <c r="A14" s="42">
        <v>45199</v>
      </c>
      <c r="E14" s="2">
        <f>Datahub!$E$17</f>
        <v>155000</v>
      </c>
      <c r="F14" s="2">
        <f>Datahub!$E$14</f>
        <v>138000</v>
      </c>
      <c r="G14" s="2">
        <f>Datahub!$E$15+Datahub!$E$16</f>
        <v>246400.00000000006</v>
      </c>
      <c r="I14" s="2">
        <f>Datahub!$E$21</f>
        <v>1000</v>
      </c>
      <c r="K14" s="2">
        <f>Datahub!$E$23/5</f>
        <v>20000</v>
      </c>
      <c r="L14" s="2">
        <f>Datahub!$E$24/5</f>
        <v>50000</v>
      </c>
      <c r="N14" s="2">
        <f>SUM(Tabulka1[[#This Row],[Stavba]:[Obnova vybavení]])</f>
        <v>610400</v>
      </c>
    </row>
    <row r="15" spans="1:15">
      <c r="A15" s="42">
        <v>45230</v>
      </c>
      <c r="E15" s="2">
        <f>Datahub!$E$17</f>
        <v>155000</v>
      </c>
      <c r="F15" s="2">
        <f>Datahub!$E$14</f>
        <v>138000</v>
      </c>
      <c r="G15" s="2">
        <f>Datahub!$E$15+Datahub!$E$16</f>
        <v>246400.00000000006</v>
      </c>
      <c r="I15" s="2">
        <f>Datahub!$E$21</f>
        <v>1000</v>
      </c>
      <c r="K15" s="2">
        <f>Datahub!$E$23/5</f>
        <v>20000</v>
      </c>
      <c r="L15" s="2">
        <f>Datahub!$E$24/5</f>
        <v>50000</v>
      </c>
      <c r="N15" s="2">
        <f>SUM(Tabulka1[[#This Row],[Stavba]:[Obnova vybavení]])</f>
        <v>610400</v>
      </c>
    </row>
    <row r="16" spans="1:15">
      <c r="A16" s="42">
        <v>45260</v>
      </c>
      <c r="E16" s="2">
        <f>Datahub!$E$17</f>
        <v>155000</v>
      </c>
      <c r="F16" s="2">
        <f>Datahub!$E$14</f>
        <v>138000</v>
      </c>
      <c r="G16" s="2">
        <f>Datahub!$E$15+Datahub!$E$16</f>
        <v>246400.00000000006</v>
      </c>
      <c r="I16" s="2">
        <f>Datahub!$E$21</f>
        <v>1000</v>
      </c>
      <c r="K16" s="2">
        <f>Datahub!$E$23/5</f>
        <v>20000</v>
      </c>
      <c r="L16" s="2">
        <f>Datahub!$E$24/5</f>
        <v>50000</v>
      </c>
      <c r="N16" s="2">
        <f>SUM(Tabulka1[[#This Row],[Stavba]:[Obnova vybavení]])</f>
        <v>610400</v>
      </c>
    </row>
    <row r="17" spans="1:14">
      <c r="A17" s="42">
        <v>45291</v>
      </c>
      <c r="E17" s="2">
        <f>Datahub!$E$17</f>
        <v>155000</v>
      </c>
      <c r="F17" s="2">
        <f>Datahub!$E$14</f>
        <v>138000</v>
      </c>
      <c r="G17" s="2">
        <f>Datahub!$E$15+Datahub!$E$16</f>
        <v>246400.00000000006</v>
      </c>
      <c r="I17" s="2">
        <f>Datahub!$E$21</f>
        <v>1000</v>
      </c>
      <c r="K17" s="2">
        <f>Datahub!$E$23/5</f>
        <v>20000</v>
      </c>
      <c r="L17" s="2">
        <f>Datahub!$E$24/5</f>
        <v>50000</v>
      </c>
      <c r="N17" s="2">
        <f>SUM(Tabulka1[[#This Row],[Stavba]:[Obnova vybavení]])</f>
        <v>610400</v>
      </c>
    </row>
    <row r="18" spans="1:14">
      <c r="A18" s="42">
        <v>45322</v>
      </c>
      <c r="E18" s="2">
        <f>Datahub!$E$17</f>
        <v>155000</v>
      </c>
      <c r="F18" s="2">
        <f>Datahub!$E$14</f>
        <v>138000</v>
      </c>
      <c r="G18" s="2">
        <f>Datahub!$E$15+Datahub!$E$16</f>
        <v>246400.00000000006</v>
      </c>
      <c r="H18" s="2">
        <f>Datahub!$E$20</f>
        <v>20000</v>
      </c>
      <c r="I18" s="2">
        <f>Datahub!$E$21</f>
        <v>1000</v>
      </c>
      <c r="K18" s="2">
        <f>Datahub!$E$23/12</f>
        <v>8333.3333333333339</v>
      </c>
      <c r="L18" s="2">
        <f>Datahub!$E$24/12</f>
        <v>20833.333333333332</v>
      </c>
      <c r="M18" s="2">
        <f>Datahub!$F$25/12</f>
        <v>184647.22222222222</v>
      </c>
      <c r="N18" s="2">
        <f>SUM(Tabulka1[[#This Row],[Stavba]:[Obnova vybavení]])</f>
        <v>774213.88888888899</v>
      </c>
    </row>
    <row r="19" spans="1:14">
      <c r="A19" s="42">
        <v>45351</v>
      </c>
      <c r="E19" s="2">
        <f>Datahub!$E$17</f>
        <v>155000</v>
      </c>
      <c r="F19" s="2">
        <f>Datahub!$E$14</f>
        <v>138000</v>
      </c>
      <c r="G19" s="2">
        <f>Datahub!$E$15+Datahub!$E$16</f>
        <v>246400.00000000006</v>
      </c>
      <c r="I19" s="2">
        <f>Datahub!$E$21</f>
        <v>1000</v>
      </c>
      <c r="K19" s="2">
        <f>Datahub!$E$23/12</f>
        <v>8333.3333333333339</v>
      </c>
      <c r="L19" s="2">
        <f>Datahub!$E$24/12</f>
        <v>20833.333333333332</v>
      </c>
      <c r="M19" s="2">
        <f>Datahub!$F$25/12</f>
        <v>184647.22222222222</v>
      </c>
      <c r="N19" s="2">
        <f>SUM(Tabulka1[[#This Row],[Stavba]:[Obnova vybavení]])</f>
        <v>754213.88888888899</v>
      </c>
    </row>
    <row r="20" spans="1:14">
      <c r="A20" s="42">
        <v>45382</v>
      </c>
      <c r="E20" s="2">
        <f>Datahub!$E$17</f>
        <v>155000</v>
      </c>
      <c r="F20" s="2">
        <f>Datahub!$E$14</f>
        <v>138000</v>
      </c>
      <c r="G20" s="2">
        <f>Datahub!$E$15+Datahub!$E$16</f>
        <v>246400.00000000006</v>
      </c>
      <c r="I20" s="2">
        <f>Datahub!$E$21</f>
        <v>1000</v>
      </c>
      <c r="K20" s="2">
        <f>Datahub!$E$23/12</f>
        <v>8333.3333333333339</v>
      </c>
      <c r="L20" s="2">
        <f>Datahub!$E$24/12</f>
        <v>20833.333333333332</v>
      </c>
      <c r="M20" s="2">
        <f>Datahub!$F$25/12</f>
        <v>184647.22222222222</v>
      </c>
      <c r="N20" s="2">
        <f>SUM(Tabulka1[[#This Row],[Stavba]:[Obnova vybavení]])</f>
        <v>754213.88888888899</v>
      </c>
    </row>
    <row r="21" spans="1:14">
      <c r="A21" s="42">
        <v>45412</v>
      </c>
      <c r="E21" s="2">
        <f>Datahub!$E$17</f>
        <v>155000</v>
      </c>
      <c r="F21" s="2">
        <f>Datahub!$E$14</f>
        <v>138000</v>
      </c>
      <c r="G21" s="2">
        <f>Datahub!$E$15+Datahub!$E$16</f>
        <v>246400.00000000006</v>
      </c>
      <c r="I21" s="2">
        <f>Datahub!$E$21</f>
        <v>1000</v>
      </c>
      <c r="K21" s="2">
        <f>Datahub!$E$23/12</f>
        <v>8333.3333333333339</v>
      </c>
      <c r="L21" s="2">
        <f>Datahub!$E$24/12</f>
        <v>20833.333333333332</v>
      </c>
      <c r="M21" s="2">
        <f>Datahub!$F$25/12</f>
        <v>184647.22222222222</v>
      </c>
      <c r="N21" s="2">
        <f>SUM(Tabulka1[[#This Row],[Stavba]:[Obnova vybavení]])</f>
        <v>754213.88888888899</v>
      </c>
    </row>
    <row r="22" spans="1:14">
      <c r="A22" s="42">
        <v>45443</v>
      </c>
      <c r="E22" s="2">
        <f>Datahub!$E$17</f>
        <v>155000</v>
      </c>
      <c r="F22" s="2">
        <f>Datahub!$E$14</f>
        <v>138000</v>
      </c>
      <c r="G22" s="2">
        <f>Datahub!$E$15+Datahub!$E$16</f>
        <v>246400.00000000006</v>
      </c>
      <c r="I22" s="2">
        <f>Datahub!$E$21</f>
        <v>1000</v>
      </c>
      <c r="K22" s="2">
        <f>Datahub!$E$23/12</f>
        <v>8333.3333333333339</v>
      </c>
      <c r="L22" s="2">
        <f>Datahub!$E$24/12</f>
        <v>20833.333333333332</v>
      </c>
      <c r="M22" s="2">
        <f>Datahub!$F$25/12</f>
        <v>184647.22222222222</v>
      </c>
      <c r="N22" s="2">
        <f>SUM(Tabulka1[[#This Row],[Stavba]:[Obnova vybavení]])</f>
        <v>754213.88888888899</v>
      </c>
    </row>
    <row r="23" spans="1:14">
      <c r="A23" s="42">
        <v>45473</v>
      </c>
      <c r="E23" s="2">
        <f>Datahub!$E$17</f>
        <v>155000</v>
      </c>
      <c r="F23" s="2">
        <f>Datahub!$E$14</f>
        <v>138000</v>
      </c>
      <c r="G23" s="2">
        <f>Datahub!$E$15+Datahub!$E$16</f>
        <v>246400.00000000006</v>
      </c>
      <c r="I23" s="2">
        <f>Datahub!$E$21</f>
        <v>1000</v>
      </c>
      <c r="J23" s="2">
        <f>Datahub!$E$22/2</f>
        <v>5000</v>
      </c>
      <c r="K23" s="2">
        <f>Datahub!$E$23/12</f>
        <v>8333.3333333333339</v>
      </c>
      <c r="L23" s="2">
        <f>Datahub!$E$24/12</f>
        <v>20833.333333333332</v>
      </c>
      <c r="M23" s="2">
        <f>Datahub!$F$25/12</f>
        <v>184647.22222222222</v>
      </c>
      <c r="N23" s="2">
        <f>SUM(Tabulka1[[#This Row],[Stavba]:[Obnova vybavení]])</f>
        <v>759213.88888888899</v>
      </c>
    </row>
    <row r="24" spans="1:14">
      <c r="A24" s="42">
        <v>45504</v>
      </c>
      <c r="E24" s="2">
        <f>Datahub!$E$17</f>
        <v>155000</v>
      </c>
      <c r="F24" s="2">
        <f>Datahub!$E$14</f>
        <v>138000</v>
      </c>
      <c r="G24" s="2">
        <f>Datahub!$E$15+Datahub!$E$16</f>
        <v>246400.00000000006</v>
      </c>
      <c r="I24" s="2">
        <f>Datahub!$E$21</f>
        <v>1000</v>
      </c>
      <c r="K24" s="2">
        <f>Datahub!$E$23/12</f>
        <v>8333.3333333333339</v>
      </c>
      <c r="L24" s="2">
        <f>Datahub!$E$24/12</f>
        <v>20833.333333333332</v>
      </c>
      <c r="M24" s="2">
        <f>Datahub!$F$25/12</f>
        <v>184647.22222222222</v>
      </c>
      <c r="N24" s="2">
        <f>SUM(Tabulka1[[#This Row],[Stavba]:[Obnova vybavení]])</f>
        <v>754213.88888888899</v>
      </c>
    </row>
    <row r="25" spans="1:14">
      <c r="A25" s="42">
        <v>45535</v>
      </c>
      <c r="E25" s="2">
        <f>Datahub!$E$17</f>
        <v>155000</v>
      </c>
      <c r="F25" s="2">
        <f>Datahub!$E$14</f>
        <v>138000</v>
      </c>
      <c r="G25" s="2">
        <f>Datahub!$E$15+Datahub!$E$16</f>
        <v>246400.00000000006</v>
      </c>
      <c r="I25" s="2">
        <f>Datahub!$E$21</f>
        <v>1000</v>
      </c>
      <c r="K25" s="2">
        <f>Datahub!$E$23/12</f>
        <v>8333.3333333333339</v>
      </c>
      <c r="L25" s="2">
        <f>Datahub!$E$24/12</f>
        <v>20833.333333333332</v>
      </c>
      <c r="M25" s="2">
        <f>Datahub!$F$25/12</f>
        <v>184647.22222222222</v>
      </c>
      <c r="N25" s="2">
        <f>SUM(Tabulka1[[#This Row],[Stavba]:[Obnova vybavení]])</f>
        <v>754213.88888888899</v>
      </c>
    </row>
    <row r="26" spans="1:14">
      <c r="A26" s="42">
        <v>45565</v>
      </c>
      <c r="E26" s="2">
        <f>Datahub!$E$17</f>
        <v>155000</v>
      </c>
      <c r="F26" s="2">
        <f>Datahub!$E$14</f>
        <v>138000</v>
      </c>
      <c r="G26" s="2">
        <f>Datahub!$E$15+Datahub!$E$16</f>
        <v>246400.00000000006</v>
      </c>
      <c r="I26" s="2">
        <f>Datahub!$E$21</f>
        <v>1000</v>
      </c>
      <c r="K26" s="2">
        <f>Datahub!$E$23/12</f>
        <v>8333.3333333333339</v>
      </c>
      <c r="L26" s="2">
        <f>Datahub!$E$24/12</f>
        <v>20833.333333333332</v>
      </c>
      <c r="M26" s="2">
        <f>Datahub!$F$25/12</f>
        <v>184647.22222222222</v>
      </c>
      <c r="N26" s="2">
        <f>SUM(Tabulka1[[#This Row],[Stavba]:[Obnova vybavení]])</f>
        <v>754213.88888888899</v>
      </c>
    </row>
    <row r="27" spans="1:14">
      <c r="A27" s="42">
        <v>45596</v>
      </c>
      <c r="E27" s="2">
        <f>Datahub!$E$17</f>
        <v>155000</v>
      </c>
      <c r="F27" s="2">
        <f>Datahub!$E$14</f>
        <v>138000</v>
      </c>
      <c r="G27" s="2">
        <f>Datahub!$E$15+Datahub!$E$16</f>
        <v>246400.00000000006</v>
      </c>
      <c r="I27" s="2">
        <f>Datahub!$E$21</f>
        <v>1000</v>
      </c>
      <c r="J27" s="2">
        <f>Datahub!$E$22/2</f>
        <v>5000</v>
      </c>
      <c r="K27" s="2">
        <f>Datahub!$E$23/12</f>
        <v>8333.3333333333339</v>
      </c>
      <c r="L27" s="2">
        <f>Datahub!$E$24/12</f>
        <v>20833.333333333332</v>
      </c>
      <c r="M27" s="2">
        <f>Datahub!$F$25/12</f>
        <v>184647.22222222222</v>
      </c>
      <c r="N27" s="2">
        <f>SUM(Tabulka1[[#This Row],[Stavba]:[Obnova vybavení]])</f>
        <v>759213.88888888899</v>
      </c>
    </row>
    <row r="28" spans="1:14">
      <c r="A28" s="42">
        <v>45626</v>
      </c>
      <c r="E28" s="2">
        <f>Datahub!$E$17</f>
        <v>155000</v>
      </c>
      <c r="F28" s="2">
        <f>Datahub!$E$14</f>
        <v>138000</v>
      </c>
      <c r="G28" s="2">
        <f>Datahub!$E$15+Datahub!$E$16</f>
        <v>246400.00000000006</v>
      </c>
      <c r="I28" s="2">
        <f>Datahub!$E$21</f>
        <v>1000</v>
      </c>
      <c r="K28" s="2">
        <f>Datahub!$E$23/12</f>
        <v>8333.3333333333339</v>
      </c>
      <c r="L28" s="2">
        <f>Datahub!$E$24/12</f>
        <v>20833.333333333332</v>
      </c>
      <c r="M28" s="2">
        <f>Datahub!$F$25/12</f>
        <v>184647.22222222222</v>
      </c>
      <c r="N28" s="2">
        <f>SUM(Tabulka1[[#This Row],[Stavba]:[Obnova vybavení]])</f>
        <v>754213.88888888899</v>
      </c>
    </row>
    <row r="29" spans="1:14">
      <c r="A29" s="42">
        <v>45657</v>
      </c>
      <c r="E29" s="2">
        <f>Datahub!$E$17</f>
        <v>155000</v>
      </c>
      <c r="F29" s="2">
        <f>Datahub!$E$14</f>
        <v>138000</v>
      </c>
      <c r="G29" s="2">
        <f>Datahub!$E$15+Datahub!$E$16</f>
        <v>246400.00000000006</v>
      </c>
      <c r="I29" s="2">
        <f>Datahub!$E$21</f>
        <v>1000</v>
      </c>
      <c r="K29" s="2">
        <f>Datahub!$E$23/12</f>
        <v>8333.3333333333339</v>
      </c>
      <c r="L29" s="2">
        <f>Datahub!$E$24/12</f>
        <v>20833.333333333332</v>
      </c>
      <c r="M29" s="2">
        <f>Datahub!$F$25/12</f>
        <v>184647.22222222222</v>
      </c>
      <c r="N29" s="2">
        <f>SUM(Tabulka1[[#This Row],[Stavba]:[Obnova vybavení]])</f>
        <v>754213.88888888899</v>
      </c>
    </row>
    <row r="30" spans="1:14">
      <c r="A30" s="42">
        <v>45688</v>
      </c>
      <c r="E30" s="2">
        <f>Datahub!$E$17</f>
        <v>155000</v>
      </c>
      <c r="F30" s="2">
        <f>Datahub!$E$14</f>
        <v>138000</v>
      </c>
      <c r="G30" s="2">
        <f>Datahub!$E$15+Datahub!$E$16</f>
        <v>246400.00000000006</v>
      </c>
      <c r="H30" s="2">
        <f>Datahub!$E$20</f>
        <v>20000</v>
      </c>
      <c r="I30" s="2">
        <f>Datahub!$E$21</f>
        <v>1000</v>
      </c>
      <c r="K30" s="2">
        <f>Datahub!$E$23/12</f>
        <v>8333.3333333333339</v>
      </c>
      <c r="L30" s="2">
        <f>Datahub!$E$24/12</f>
        <v>20833.333333333332</v>
      </c>
      <c r="M30" s="2">
        <f>Datahub!$F$25/12</f>
        <v>184647.22222222222</v>
      </c>
      <c r="N30" s="2">
        <f>SUM(Tabulka1[[#This Row],[Stavba]:[Obnova vybavení]])</f>
        <v>774213.88888888899</v>
      </c>
    </row>
    <row r="31" spans="1:14">
      <c r="A31" s="42">
        <v>45716</v>
      </c>
      <c r="E31" s="2">
        <f>Datahub!$E$17</f>
        <v>155000</v>
      </c>
      <c r="F31" s="2">
        <f>Datahub!$E$14</f>
        <v>138000</v>
      </c>
      <c r="G31" s="2">
        <f>Datahub!$E$15+Datahub!$E$16</f>
        <v>246400.00000000006</v>
      </c>
      <c r="I31" s="2">
        <f>Datahub!$E$21</f>
        <v>1000</v>
      </c>
      <c r="K31" s="2">
        <f>Datahub!$E$23/12</f>
        <v>8333.3333333333339</v>
      </c>
      <c r="L31" s="2">
        <f>Datahub!$E$24/12</f>
        <v>20833.333333333332</v>
      </c>
      <c r="M31" s="2">
        <f>Datahub!$F$25/12</f>
        <v>184647.22222222222</v>
      </c>
      <c r="N31" s="2">
        <f>SUM(Tabulka1[[#This Row],[Stavba]:[Obnova vybavení]])</f>
        <v>754213.88888888899</v>
      </c>
    </row>
    <row r="32" spans="1:14">
      <c r="A32" s="42">
        <v>45747</v>
      </c>
      <c r="E32" s="2">
        <f>Datahub!$E$17</f>
        <v>155000</v>
      </c>
      <c r="F32" s="2">
        <f>Datahub!$E$14</f>
        <v>138000</v>
      </c>
      <c r="G32" s="2">
        <f>Datahub!$E$15+Datahub!$E$16</f>
        <v>246400.00000000006</v>
      </c>
      <c r="I32" s="2">
        <f>Datahub!$E$21</f>
        <v>1000</v>
      </c>
      <c r="K32" s="2">
        <f>Datahub!$E$23/12</f>
        <v>8333.3333333333339</v>
      </c>
      <c r="L32" s="2">
        <f>Datahub!$E$24/12</f>
        <v>20833.333333333332</v>
      </c>
      <c r="M32" s="2">
        <f>Datahub!$F$25/12</f>
        <v>184647.22222222222</v>
      </c>
      <c r="N32" s="2">
        <f>SUM(Tabulka1[[#This Row],[Stavba]:[Obnova vybavení]])</f>
        <v>754213.88888888899</v>
      </c>
    </row>
    <row r="33" spans="1:14">
      <c r="A33" s="42">
        <v>45777</v>
      </c>
      <c r="E33" s="2">
        <f>Datahub!$E$17</f>
        <v>155000</v>
      </c>
      <c r="F33" s="2">
        <f>Datahub!$E$14</f>
        <v>138000</v>
      </c>
      <c r="G33" s="2">
        <f>Datahub!$E$15+Datahub!$E$16</f>
        <v>246400.00000000006</v>
      </c>
      <c r="I33" s="2">
        <f>Datahub!$E$21</f>
        <v>1000</v>
      </c>
      <c r="K33" s="2">
        <f>Datahub!$E$23/12</f>
        <v>8333.3333333333339</v>
      </c>
      <c r="L33" s="2">
        <f>Datahub!$E$24/12</f>
        <v>20833.333333333332</v>
      </c>
      <c r="M33" s="2">
        <f>Datahub!$F$25/12</f>
        <v>184647.22222222222</v>
      </c>
      <c r="N33" s="2">
        <f>SUM(Tabulka1[[#This Row],[Stavba]:[Obnova vybavení]])</f>
        <v>754213.88888888899</v>
      </c>
    </row>
    <row r="34" spans="1:14">
      <c r="A34" s="42">
        <v>45808</v>
      </c>
      <c r="E34" s="2">
        <f>Datahub!$E$17</f>
        <v>155000</v>
      </c>
      <c r="F34" s="2">
        <f>Datahub!$E$14</f>
        <v>138000</v>
      </c>
      <c r="G34" s="2">
        <f>Datahub!$E$15+Datahub!$E$16</f>
        <v>246400.00000000006</v>
      </c>
      <c r="I34" s="2">
        <f>Datahub!$E$21</f>
        <v>1000</v>
      </c>
      <c r="J34" s="2">
        <f>Datahub!$E$22/2</f>
        <v>5000</v>
      </c>
      <c r="K34" s="2">
        <f>Datahub!$E$23/12</f>
        <v>8333.3333333333339</v>
      </c>
      <c r="L34" s="2">
        <f>Datahub!$E$24/12</f>
        <v>20833.333333333332</v>
      </c>
      <c r="M34" s="2">
        <f>Datahub!$F$25/12</f>
        <v>184647.22222222222</v>
      </c>
      <c r="N34" s="2">
        <f>SUM(Tabulka1[[#This Row],[Stavba]:[Obnova vybavení]])</f>
        <v>759213.88888888899</v>
      </c>
    </row>
    <row r="35" spans="1:14">
      <c r="A35" s="42">
        <v>45838</v>
      </c>
      <c r="E35" s="2">
        <f>Datahub!$E$17</f>
        <v>155000</v>
      </c>
      <c r="F35" s="2">
        <f>Datahub!$E$14</f>
        <v>138000</v>
      </c>
      <c r="G35" s="2">
        <f>Datahub!$E$15+Datahub!$E$16</f>
        <v>246400.00000000006</v>
      </c>
      <c r="I35" s="2">
        <f>Datahub!$E$21</f>
        <v>1000</v>
      </c>
      <c r="K35" s="2">
        <f>Datahub!$E$23/12</f>
        <v>8333.3333333333339</v>
      </c>
      <c r="L35" s="2">
        <f>Datahub!$E$24/12</f>
        <v>20833.333333333332</v>
      </c>
      <c r="M35" s="2">
        <f>Datahub!$F$25/12</f>
        <v>184647.22222222222</v>
      </c>
      <c r="N35" s="2">
        <f>SUM(Tabulka1[[#This Row],[Stavba]:[Obnova vybavení]])</f>
        <v>754213.88888888899</v>
      </c>
    </row>
    <row r="36" spans="1:14">
      <c r="A36" s="42">
        <v>45869</v>
      </c>
      <c r="E36" s="2">
        <f>Datahub!$E$17</f>
        <v>155000</v>
      </c>
      <c r="F36" s="2">
        <f>Datahub!$E$14</f>
        <v>138000</v>
      </c>
      <c r="G36" s="2">
        <f>Datahub!$E$15+Datahub!$E$16</f>
        <v>246400.00000000006</v>
      </c>
      <c r="I36" s="2">
        <f>Datahub!$E$21</f>
        <v>1000</v>
      </c>
      <c r="K36" s="2">
        <f>Datahub!$E$23/12</f>
        <v>8333.3333333333339</v>
      </c>
      <c r="L36" s="2">
        <f>Datahub!$E$24/12</f>
        <v>20833.333333333332</v>
      </c>
      <c r="M36" s="2">
        <f>Datahub!$F$25/12</f>
        <v>184647.22222222222</v>
      </c>
      <c r="N36" s="2">
        <f>SUM(Tabulka1[[#This Row],[Stavba]:[Obnova vybavení]])</f>
        <v>754213.88888888899</v>
      </c>
    </row>
    <row r="37" spans="1:14">
      <c r="A37" s="42">
        <v>45900</v>
      </c>
      <c r="E37" s="2">
        <f>Datahub!$E$17</f>
        <v>155000</v>
      </c>
      <c r="F37" s="2">
        <f>Datahub!$E$14</f>
        <v>138000</v>
      </c>
      <c r="G37" s="2">
        <f>Datahub!$E$15+Datahub!$E$16</f>
        <v>246400.00000000006</v>
      </c>
      <c r="I37" s="2">
        <f>Datahub!$E$21</f>
        <v>1000</v>
      </c>
      <c r="K37" s="2">
        <f>Datahub!$E$23/12</f>
        <v>8333.3333333333339</v>
      </c>
      <c r="L37" s="2">
        <f>Datahub!$E$24/12</f>
        <v>20833.333333333332</v>
      </c>
      <c r="M37" s="2">
        <f>Datahub!$F$25/12</f>
        <v>184647.22222222222</v>
      </c>
      <c r="N37" s="2">
        <f>SUM(Tabulka1[[#This Row],[Stavba]:[Obnova vybavení]])</f>
        <v>754213.88888888899</v>
      </c>
    </row>
    <row r="38" spans="1:14">
      <c r="A38" s="42">
        <v>45930</v>
      </c>
      <c r="E38" s="2">
        <f>Datahub!$E$17</f>
        <v>155000</v>
      </c>
      <c r="F38" s="2">
        <f>Datahub!$E$14</f>
        <v>138000</v>
      </c>
      <c r="G38" s="2">
        <f>Datahub!$E$15+Datahub!$E$16</f>
        <v>246400.00000000006</v>
      </c>
      <c r="I38" s="2">
        <f>Datahub!$E$21</f>
        <v>1000</v>
      </c>
      <c r="K38" s="2">
        <f>Datahub!$E$23/12</f>
        <v>8333.3333333333339</v>
      </c>
      <c r="L38" s="2">
        <f>Datahub!$E$24/12</f>
        <v>20833.333333333332</v>
      </c>
      <c r="M38" s="2">
        <f>Datahub!$F$25/12</f>
        <v>184647.22222222222</v>
      </c>
      <c r="N38" s="2">
        <f>SUM(Tabulka1[[#This Row],[Stavba]:[Obnova vybavení]])</f>
        <v>754213.88888888899</v>
      </c>
    </row>
    <row r="39" spans="1:14">
      <c r="A39" s="42">
        <v>45961</v>
      </c>
      <c r="E39" s="2">
        <f>Datahub!$E$17</f>
        <v>155000</v>
      </c>
      <c r="F39" s="2">
        <f>Datahub!$E$14</f>
        <v>138000</v>
      </c>
      <c r="G39" s="2">
        <f>Datahub!$E$15+Datahub!$E$16</f>
        <v>246400.00000000006</v>
      </c>
      <c r="I39" s="2">
        <f>Datahub!$E$21</f>
        <v>1000</v>
      </c>
      <c r="J39" s="2">
        <f>Datahub!$E$22/2</f>
        <v>5000</v>
      </c>
      <c r="K39" s="2">
        <f>Datahub!$E$23/12</f>
        <v>8333.3333333333339</v>
      </c>
      <c r="L39" s="2">
        <f>Datahub!$E$24/12</f>
        <v>20833.333333333332</v>
      </c>
      <c r="M39" s="2">
        <f>Datahub!$F$25/12</f>
        <v>184647.22222222222</v>
      </c>
      <c r="N39" s="2">
        <f>SUM(Tabulka1[[#This Row],[Stavba]:[Obnova vybavení]])</f>
        <v>759213.88888888899</v>
      </c>
    </row>
    <row r="40" spans="1:14">
      <c r="A40" s="42">
        <v>45991</v>
      </c>
      <c r="E40" s="2">
        <f>Datahub!$E$17</f>
        <v>155000</v>
      </c>
      <c r="F40" s="2">
        <f>Datahub!$E$14</f>
        <v>138000</v>
      </c>
      <c r="G40" s="2">
        <f>Datahub!$E$15+Datahub!$E$16</f>
        <v>246400.00000000006</v>
      </c>
      <c r="I40" s="2">
        <f>Datahub!$E$21</f>
        <v>1000</v>
      </c>
      <c r="K40" s="2">
        <f>Datahub!$E$23/12</f>
        <v>8333.3333333333339</v>
      </c>
      <c r="L40" s="2">
        <f>Datahub!$E$24/12</f>
        <v>20833.333333333332</v>
      </c>
      <c r="M40" s="2">
        <f>Datahub!$F$25/12</f>
        <v>184647.22222222222</v>
      </c>
      <c r="N40" s="2">
        <f>SUM(Tabulka1[[#This Row],[Stavba]:[Obnova vybavení]])</f>
        <v>754213.88888888899</v>
      </c>
    </row>
    <row r="41" spans="1:14">
      <c r="A41" s="42">
        <v>46022</v>
      </c>
      <c r="E41" s="2">
        <f>Datahub!$E$17</f>
        <v>155000</v>
      </c>
      <c r="F41" s="2">
        <f>Datahub!$E$14</f>
        <v>138000</v>
      </c>
      <c r="G41" s="2">
        <f>Datahub!$E$15+Datahub!$E$16</f>
        <v>246400.00000000006</v>
      </c>
      <c r="I41" s="2">
        <f>Datahub!$E$21</f>
        <v>1000</v>
      </c>
      <c r="K41" s="2">
        <f>Datahub!$E$23/12</f>
        <v>8333.3333333333339</v>
      </c>
      <c r="L41" s="2">
        <f>Datahub!$E$24/12</f>
        <v>20833.333333333332</v>
      </c>
      <c r="M41" s="2">
        <f>Datahub!$F$25/12</f>
        <v>184647.22222222222</v>
      </c>
      <c r="N41" s="2">
        <f>SUM(Tabulka1[[#This Row],[Stavba]:[Obnova vybavení]])</f>
        <v>754213.88888888899</v>
      </c>
    </row>
    <row r="42" spans="1:14">
      <c r="A42" s="42">
        <v>46053</v>
      </c>
      <c r="E42" s="2">
        <f>Datahub!$E$17</f>
        <v>155000</v>
      </c>
      <c r="F42" s="2">
        <f>Datahub!$E$14</f>
        <v>138000</v>
      </c>
      <c r="G42" s="2">
        <f>Datahub!$E$15+Datahub!$E$16</f>
        <v>246400.00000000006</v>
      </c>
      <c r="H42" s="2">
        <f>Datahub!$E$20</f>
        <v>20000</v>
      </c>
      <c r="I42" s="2">
        <f>Datahub!$E$21</f>
        <v>1000</v>
      </c>
      <c r="K42" s="2">
        <f>Datahub!$E$23/12</f>
        <v>8333.3333333333339</v>
      </c>
      <c r="L42" s="2">
        <f>Datahub!$E$24/12</f>
        <v>20833.333333333332</v>
      </c>
      <c r="M42" s="2">
        <f>Datahub!$F$25/12</f>
        <v>184647.22222222222</v>
      </c>
      <c r="N42" s="2">
        <f>SUM(Tabulka1[[#This Row],[Stavba]:[Obnova vybavení]])</f>
        <v>774213.88888888899</v>
      </c>
    </row>
    <row r="43" spans="1:14">
      <c r="A43" s="42">
        <v>46081</v>
      </c>
      <c r="E43" s="2">
        <f>Datahub!$E$17</f>
        <v>155000</v>
      </c>
      <c r="F43" s="2">
        <f>Datahub!$E$14</f>
        <v>138000</v>
      </c>
      <c r="G43" s="2">
        <f>Datahub!$E$15+Datahub!$E$16</f>
        <v>246400.00000000006</v>
      </c>
      <c r="I43" s="2">
        <f>Datahub!$E$21</f>
        <v>1000</v>
      </c>
      <c r="K43" s="2">
        <f>Datahub!$E$23/12</f>
        <v>8333.3333333333339</v>
      </c>
      <c r="L43" s="2">
        <f>Datahub!$E$24/12</f>
        <v>20833.333333333332</v>
      </c>
      <c r="M43" s="2">
        <f>Datahub!$F$25/12</f>
        <v>184647.22222222222</v>
      </c>
      <c r="N43" s="2">
        <f>SUM(Tabulka1[[#This Row],[Stavba]:[Obnova vybavení]])</f>
        <v>754213.88888888899</v>
      </c>
    </row>
    <row r="44" spans="1:14">
      <c r="A44" s="42">
        <v>46112</v>
      </c>
      <c r="E44" s="2">
        <f>Datahub!$E$17</f>
        <v>155000</v>
      </c>
      <c r="F44" s="2">
        <f>Datahub!$E$14</f>
        <v>138000</v>
      </c>
      <c r="G44" s="2">
        <f>Datahub!$E$15+Datahub!$E$16</f>
        <v>246400.00000000006</v>
      </c>
      <c r="I44" s="2">
        <f>Datahub!$E$21</f>
        <v>1000</v>
      </c>
      <c r="K44" s="2">
        <f>Datahub!$E$23/12</f>
        <v>8333.3333333333339</v>
      </c>
      <c r="L44" s="2">
        <f>Datahub!$E$24/12</f>
        <v>20833.333333333332</v>
      </c>
      <c r="M44" s="2">
        <f>Datahub!$F$25/12</f>
        <v>184647.22222222222</v>
      </c>
      <c r="N44" s="2">
        <f>SUM(Tabulka1[[#This Row],[Stavba]:[Obnova vybavení]])</f>
        <v>754213.88888888899</v>
      </c>
    </row>
    <row r="45" spans="1:14">
      <c r="A45" s="42">
        <v>46142</v>
      </c>
      <c r="E45" s="2">
        <f>Datahub!$E$17</f>
        <v>155000</v>
      </c>
      <c r="F45" s="2">
        <f>Datahub!$E$14</f>
        <v>138000</v>
      </c>
      <c r="G45" s="2">
        <f>Datahub!$E$15+Datahub!$E$16</f>
        <v>246400.00000000006</v>
      </c>
      <c r="I45" s="2">
        <f>Datahub!$E$21</f>
        <v>1000</v>
      </c>
      <c r="K45" s="2">
        <f>Datahub!$E$23/12</f>
        <v>8333.3333333333339</v>
      </c>
      <c r="L45" s="2">
        <f>Datahub!$E$24/12</f>
        <v>20833.333333333332</v>
      </c>
      <c r="M45" s="2">
        <f>Datahub!$F$25/12</f>
        <v>184647.22222222222</v>
      </c>
      <c r="N45" s="2">
        <f>SUM(Tabulka1[[#This Row],[Stavba]:[Obnova vybavení]])</f>
        <v>754213.88888888899</v>
      </c>
    </row>
    <row r="46" spans="1:14">
      <c r="A46" s="42">
        <v>46173</v>
      </c>
      <c r="E46" s="2">
        <f>Datahub!$E$17</f>
        <v>155000</v>
      </c>
      <c r="F46" s="2">
        <f>Datahub!$E$14</f>
        <v>138000</v>
      </c>
      <c r="G46" s="2">
        <f>Datahub!$E$15+Datahub!$E$16</f>
        <v>246400.00000000006</v>
      </c>
      <c r="I46" s="2">
        <f>Datahub!$E$21</f>
        <v>1000</v>
      </c>
      <c r="J46" s="2">
        <f>Datahub!$E$22/2</f>
        <v>5000</v>
      </c>
      <c r="K46" s="2">
        <f>Datahub!$E$23/12</f>
        <v>8333.3333333333339</v>
      </c>
      <c r="L46" s="2">
        <f>Datahub!$E$24/12</f>
        <v>20833.333333333332</v>
      </c>
      <c r="M46" s="2">
        <f>Datahub!$F$25/12</f>
        <v>184647.22222222222</v>
      </c>
      <c r="N46" s="2">
        <f>SUM(Tabulka1[[#This Row],[Stavba]:[Obnova vybavení]])</f>
        <v>759213.88888888899</v>
      </c>
    </row>
    <row r="47" spans="1:14">
      <c r="A47" s="42">
        <v>46203</v>
      </c>
      <c r="E47" s="2">
        <f>Datahub!$E$17</f>
        <v>155000</v>
      </c>
      <c r="F47" s="2">
        <f>Datahub!$E$14</f>
        <v>138000</v>
      </c>
      <c r="G47" s="2">
        <f>Datahub!$E$15+Datahub!$E$16</f>
        <v>246400.00000000006</v>
      </c>
      <c r="I47" s="2">
        <f>Datahub!$E$21</f>
        <v>1000</v>
      </c>
      <c r="K47" s="2">
        <f>Datahub!$E$23/12</f>
        <v>8333.3333333333339</v>
      </c>
      <c r="L47" s="2">
        <f>Datahub!$E$24/12</f>
        <v>20833.333333333332</v>
      </c>
      <c r="M47" s="2">
        <f>Datahub!$F$25/12</f>
        <v>184647.22222222222</v>
      </c>
      <c r="N47" s="2">
        <f>SUM(Tabulka1[[#This Row],[Stavba]:[Obnova vybavení]])</f>
        <v>754213.88888888899</v>
      </c>
    </row>
    <row r="48" spans="1:14">
      <c r="A48" s="42">
        <v>46234</v>
      </c>
      <c r="E48" s="2">
        <f>Datahub!$E$17</f>
        <v>155000</v>
      </c>
      <c r="F48" s="2">
        <f>Datahub!$E$14</f>
        <v>138000</v>
      </c>
      <c r="G48" s="2">
        <f>Datahub!$E$15+Datahub!$E$16</f>
        <v>246400.00000000006</v>
      </c>
      <c r="I48" s="2">
        <f>Datahub!$E$21</f>
        <v>1000</v>
      </c>
      <c r="K48" s="2">
        <f>Datahub!$E$23/12</f>
        <v>8333.3333333333339</v>
      </c>
      <c r="L48" s="2">
        <f>Datahub!$E$24/12</f>
        <v>20833.333333333332</v>
      </c>
      <c r="M48" s="2">
        <f>Datahub!$F$25/12</f>
        <v>184647.22222222222</v>
      </c>
      <c r="N48" s="2">
        <f>SUM(Tabulka1[[#This Row],[Stavba]:[Obnova vybavení]])</f>
        <v>754213.88888888899</v>
      </c>
    </row>
    <row r="49" spans="1:14">
      <c r="A49" s="42">
        <v>46265</v>
      </c>
      <c r="E49" s="2">
        <f>Datahub!$E$17</f>
        <v>155000</v>
      </c>
      <c r="F49" s="2">
        <f>Datahub!$E$14</f>
        <v>138000</v>
      </c>
      <c r="G49" s="2">
        <f>Datahub!$E$15+Datahub!$E$16</f>
        <v>246400.00000000006</v>
      </c>
      <c r="I49" s="2">
        <f>Datahub!$E$21</f>
        <v>1000</v>
      </c>
      <c r="K49" s="2">
        <f>Datahub!$E$23/12</f>
        <v>8333.3333333333339</v>
      </c>
      <c r="L49" s="2">
        <f>Datahub!$E$24/12</f>
        <v>20833.333333333332</v>
      </c>
      <c r="M49" s="2">
        <f>Datahub!$F$25/12</f>
        <v>184647.22222222222</v>
      </c>
      <c r="N49" s="2">
        <f>SUM(Tabulka1[[#This Row],[Stavba]:[Obnova vybavení]])</f>
        <v>754213.88888888899</v>
      </c>
    </row>
    <row r="50" spans="1:14">
      <c r="A50" s="42">
        <v>46295</v>
      </c>
      <c r="E50" s="2">
        <f>Datahub!$E$17</f>
        <v>155000</v>
      </c>
      <c r="F50" s="2">
        <f>Datahub!$E$14</f>
        <v>138000</v>
      </c>
      <c r="G50" s="2">
        <f>Datahub!$E$15+Datahub!$E$16</f>
        <v>246400.00000000006</v>
      </c>
      <c r="I50" s="2">
        <f>Datahub!$E$21</f>
        <v>1000</v>
      </c>
      <c r="K50" s="2">
        <f>Datahub!$E$23/12</f>
        <v>8333.3333333333339</v>
      </c>
      <c r="L50" s="2">
        <f>Datahub!$E$24/12</f>
        <v>20833.333333333332</v>
      </c>
      <c r="M50" s="2">
        <f>Datahub!$F$25/12</f>
        <v>184647.22222222222</v>
      </c>
      <c r="N50" s="2">
        <f>SUM(Tabulka1[[#This Row],[Stavba]:[Obnova vybavení]])</f>
        <v>754213.88888888899</v>
      </c>
    </row>
    <row r="51" spans="1:14">
      <c r="A51" s="42">
        <v>46326</v>
      </c>
      <c r="E51" s="2">
        <f>Datahub!$E$17</f>
        <v>155000</v>
      </c>
      <c r="F51" s="2">
        <f>Datahub!$E$14</f>
        <v>138000</v>
      </c>
      <c r="G51" s="2">
        <f>Datahub!$E$15+Datahub!$E$16</f>
        <v>246400.00000000006</v>
      </c>
      <c r="I51" s="2">
        <f>Datahub!$E$21</f>
        <v>1000</v>
      </c>
      <c r="J51" s="2">
        <f>Datahub!$E$22/2</f>
        <v>5000</v>
      </c>
      <c r="K51" s="2">
        <f>Datahub!$E$23/12</f>
        <v>8333.3333333333339</v>
      </c>
      <c r="L51" s="2">
        <f>Datahub!$E$24/12</f>
        <v>20833.333333333332</v>
      </c>
      <c r="M51" s="2">
        <f>Datahub!$F$25/12</f>
        <v>184647.22222222222</v>
      </c>
      <c r="N51" s="2">
        <f>SUM(Tabulka1[[#This Row],[Stavba]:[Obnova vybavení]])</f>
        <v>759213.88888888899</v>
      </c>
    </row>
    <row r="52" spans="1:14">
      <c r="A52" s="42">
        <v>46356</v>
      </c>
      <c r="E52" s="2">
        <f>Datahub!$E$17</f>
        <v>155000</v>
      </c>
      <c r="F52" s="2">
        <f>Datahub!$E$14</f>
        <v>138000</v>
      </c>
      <c r="G52" s="2">
        <f>Datahub!$E$15+Datahub!$E$16</f>
        <v>246400.00000000006</v>
      </c>
      <c r="I52" s="2">
        <f>Datahub!$E$21</f>
        <v>1000</v>
      </c>
      <c r="K52" s="2">
        <f>Datahub!$E$23/12</f>
        <v>8333.3333333333339</v>
      </c>
      <c r="L52" s="2">
        <f>Datahub!$E$24/12</f>
        <v>20833.333333333332</v>
      </c>
      <c r="M52" s="2">
        <f>Datahub!$F$25/12</f>
        <v>184647.22222222222</v>
      </c>
      <c r="N52" s="2">
        <f>SUM(Tabulka1[[#This Row],[Stavba]:[Obnova vybavení]])</f>
        <v>754213.88888888899</v>
      </c>
    </row>
    <row r="53" spans="1:14">
      <c r="A53" s="42">
        <v>46387</v>
      </c>
      <c r="E53" s="2">
        <f>Datahub!$E$17</f>
        <v>155000</v>
      </c>
      <c r="F53" s="2">
        <f>Datahub!$E$14</f>
        <v>138000</v>
      </c>
      <c r="G53" s="2">
        <f>Datahub!$E$15+Datahub!$E$16</f>
        <v>246400.00000000006</v>
      </c>
      <c r="I53" s="2">
        <f>Datahub!$E$21</f>
        <v>1000</v>
      </c>
      <c r="K53" s="2">
        <f>Datahub!$E$23/12</f>
        <v>8333.3333333333339</v>
      </c>
      <c r="L53" s="2">
        <f>Datahub!$E$24/12</f>
        <v>20833.333333333332</v>
      </c>
      <c r="M53" s="2">
        <f>Datahub!$F$25/12</f>
        <v>184647.22222222222</v>
      </c>
      <c r="N53" s="2">
        <f>SUM(Tabulka1[[#This Row],[Stavba]:[Obnova vybavení]])</f>
        <v>754213.88888888899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B47B4-6C66-4AB3-9802-F72B39C1422D}">
  <dimension ref="A1:BC18"/>
  <sheetViews>
    <sheetView workbookViewId="0">
      <selection activeCell="BC1" sqref="BC1"/>
    </sheetView>
  </sheetViews>
  <sheetFormatPr baseColWidth="10" defaultColWidth="8.83203125" defaultRowHeight="15" outlineLevelCol="1"/>
  <cols>
    <col min="1" max="1" width="16.33203125" bestFit="1" customWidth="1"/>
    <col min="2" max="11" width="12.33203125" hidden="1" customWidth="1" outlineLevel="1"/>
    <col min="12" max="12" width="12.83203125" hidden="1" customWidth="1" outlineLevel="1"/>
    <col min="13" max="13" width="13.5" hidden="1" customWidth="1" outlineLevel="1"/>
    <col min="14" max="14" width="13.83203125" bestFit="1" customWidth="1" collapsed="1"/>
    <col min="15" max="26" width="12.33203125" hidden="1" customWidth="1" outlineLevel="1"/>
    <col min="27" max="27" width="13.83203125" bestFit="1" customWidth="1" collapsed="1"/>
    <col min="28" max="39" width="12.33203125" hidden="1" customWidth="1" outlineLevel="1"/>
    <col min="40" max="40" width="13.83203125" bestFit="1" customWidth="1" collapsed="1"/>
    <col min="41" max="52" width="12.33203125" hidden="1" customWidth="1" outlineLevel="1"/>
    <col min="53" max="53" width="13.83203125" bestFit="1" customWidth="1" collapsed="1"/>
    <col min="54" max="54" width="19.6640625" bestFit="1" customWidth="1"/>
    <col min="55" max="55" width="14.5" bestFit="1" customWidth="1"/>
  </cols>
  <sheetData>
    <row r="1" spans="1:55">
      <c r="BC1" s="49" t="s">
        <v>55</v>
      </c>
    </row>
    <row r="2" spans="1:55">
      <c r="A2" s="46" t="s">
        <v>56</v>
      </c>
      <c r="B2" s="43">
        <f>SUBTOTAL(9,Tabulka4[31.01.2023])</f>
        <v>605000</v>
      </c>
      <c r="C2" s="43">
        <f>SUBTOTAL(9,Tabulka4[28.02.2023])</f>
        <v>155000</v>
      </c>
      <c r="D2" s="43">
        <f>SUBTOTAL(9,Tabulka4[31.03.2023])</f>
        <v>524975</v>
      </c>
      <c r="E2" s="43">
        <f>SUBTOTAL(9,Tabulka4[30.04.2023])</f>
        <v>4880370</v>
      </c>
      <c r="F2" s="43">
        <f>SUBTOTAL(9,Tabulka4[31.05.2023])</f>
        <v>6060968.7500000009</v>
      </c>
      <c r="G2" s="43">
        <f>SUBTOTAL(9,Tabulka4[30.06.2023])</f>
        <v>5455511.9199999999</v>
      </c>
      <c r="H2" s="43">
        <f>SUBTOTAL(9,Tabulka4[31.07.2023])</f>
        <v>3977197.4999999995</v>
      </c>
      <c r="I2" s="43">
        <f>SUBTOTAL(9,Tabulka4[31.08.2023])</f>
        <v>630400</v>
      </c>
      <c r="J2" s="43">
        <f>SUBTOTAL(9,Tabulka4[30.09.2023])</f>
        <v>610400</v>
      </c>
      <c r="K2" s="43">
        <f>SUBTOTAL(9,Tabulka4[31.10.2023])</f>
        <v>610400</v>
      </c>
      <c r="L2" s="43">
        <f>SUBTOTAL(9,Tabulka4[30.11.2023])</f>
        <v>610400</v>
      </c>
      <c r="M2" s="43">
        <f>SUBTOTAL(9,Tabulka4[31.12.2023])</f>
        <v>610400</v>
      </c>
      <c r="N2" s="43">
        <f>SUBTOTAL(9,Tabulka4[Celkem 2023])</f>
        <v>24731023.169999998</v>
      </c>
      <c r="O2" s="43">
        <f>SUBTOTAL(9,Tabulka4[31.01.2024])</f>
        <v>774213.88888888899</v>
      </c>
      <c r="P2" s="43">
        <f>SUBTOTAL(9,Tabulka4[29.02.2024])</f>
        <v>754213.88888888899</v>
      </c>
      <c r="Q2" s="43">
        <f>SUBTOTAL(9,Tabulka4[31.03.2024])</f>
        <v>754213.88888888899</v>
      </c>
      <c r="R2" s="43">
        <f>SUBTOTAL(9,Tabulka4[30.04.2024])</f>
        <v>754213.88888888899</v>
      </c>
      <c r="S2" s="43">
        <f>SUBTOTAL(9,Tabulka4[31.05.2024])</f>
        <v>754213.88888888899</v>
      </c>
      <c r="T2" s="43">
        <f>SUBTOTAL(9,Tabulka4[30.06.2024])</f>
        <v>759213.88888888899</v>
      </c>
      <c r="U2" s="43">
        <f>SUBTOTAL(9,Tabulka4[31.07.2024])</f>
        <v>754213.88888888899</v>
      </c>
      <c r="V2" s="43">
        <f>SUBTOTAL(9,Tabulka4[31.08.2024])</f>
        <v>754213.88888888899</v>
      </c>
      <c r="W2" s="43">
        <f>SUBTOTAL(9,Tabulka4[30.09.2024])</f>
        <v>754213.88888888899</v>
      </c>
      <c r="X2" s="43">
        <f>SUBTOTAL(9,Tabulka4[31.10.2024])</f>
        <v>759213.88888888899</v>
      </c>
      <c r="Y2" s="43">
        <f>SUBTOTAL(9,Tabulka4[30.11.2024])</f>
        <v>754213.88888888899</v>
      </c>
      <c r="Z2" s="43">
        <f>SUBTOTAL(9,Tabulka4[31.12.2024])</f>
        <v>754213.88888888899</v>
      </c>
      <c r="AA2" s="43">
        <f>SUBTOTAL(9,Tabulka4[Celkem 2024])</f>
        <v>9080566.666666666</v>
      </c>
      <c r="AB2" s="43">
        <f>SUBTOTAL(9,Tabulka4[31.01.2025])</f>
        <v>774213.88888888899</v>
      </c>
      <c r="AC2" s="43">
        <f>SUBTOTAL(9,Tabulka4[28.02.2025])</f>
        <v>754213.88888888899</v>
      </c>
      <c r="AD2" s="43">
        <f>SUBTOTAL(9,Tabulka4[31.03.2025])</f>
        <v>754213.88888888899</v>
      </c>
      <c r="AE2" s="43">
        <f>SUBTOTAL(9,Tabulka4[30.04.2025])</f>
        <v>754213.88888888899</v>
      </c>
      <c r="AF2" s="43">
        <f>SUBTOTAL(9,Tabulka4[31.05.2025])</f>
        <v>759213.88888888899</v>
      </c>
      <c r="AG2" s="43">
        <f>SUBTOTAL(9,Tabulka4[30.06.2025])</f>
        <v>754213.88888888899</v>
      </c>
      <c r="AH2" s="43">
        <f>SUBTOTAL(9,Tabulka4[31.07.2025])</f>
        <v>754213.88888888899</v>
      </c>
      <c r="AI2" s="43">
        <f>SUBTOTAL(9,Tabulka4[31.08.2025])</f>
        <v>754213.88888888899</v>
      </c>
      <c r="AJ2" s="43">
        <f>SUBTOTAL(9,Tabulka4[30.09.2025])</f>
        <v>754213.88888888899</v>
      </c>
      <c r="AK2" s="43">
        <f>SUBTOTAL(9,Tabulka4[31.10.2025])</f>
        <v>759213.88888888899</v>
      </c>
      <c r="AL2" s="43">
        <f>SUBTOTAL(9,Tabulka4[30.11.2025])</f>
        <v>754213.88888888899</v>
      </c>
      <c r="AM2" s="43">
        <f>SUBTOTAL(9,Tabulka4[31.12.2025])</f>
        <v>754213.88888888899</v>
      </c>
      <c r="AN2" s="43">
        <f>SUBTOTAL(9,Tabulka4[Celkem 2025])</f>
        <v>9080566.666666666</v>
      </c>
      <c r="AO2" s="43">
        <f>SUBTOTAL(9,Tabulka4[31.01.2026])</f>
        <v>774213.88888888899</v>
      </c>
      <c r="AP2" s="43">
        <f>SUBTOTAL(9,Tabulka4[28.02.2026])</f>
        <v>754213.88888888899</v>
      </c>
      <c r="AQ2" s="43">
        <f>SUBTOTAL(9,Tabulka4[31.03.2026])</f>
        <v>754213.88888888899</v>
      </c>
      <c r="AR2" s="43">
        <f>SUBTOTAL(9,Tabulka4[30.04.2026])</f>
        <v>754213.88888888899</v>
      </c>
      <c r="AS2" s="43">
        <f>SUBTOTAL(9,Tabulka4[31.05.2026])</f>
        <v>759213.88888888899</v>
      </c>
      <c r="AT2" s="43">
        <f>SUBTOTAL(9,Tabulka4[30.06.2026])</f>
        <v>754213.88888888899</v>
      </c>
      <c r="AU2" s="43">
        <f>SUBTOTAL(9,Tabulka4[31.07.2026])</f>
        <v>754213.88888888899</v>
      </c>
      <c r="AV2" s="43">
        <f>SUBTOTAL(9,Tabulka4[31.08.2026])</f>
        <v>754213.88888888899</v>
      </c>
      <c r="AW2" s="43">
        <f>SUBTOTAL(9,Tabulka4[30.09.2026])</f>
        <v>754213.88888888899</v>
      </c>
      <c r="AX2" s="43">
        <f>SUBTOTAL(9,Tabulka4[31.10.2026])</f>
        <v>759213.88888888899</v>
      </c>
      <c r="AY2" s="43">
        <f>SUBTOTAL(9,Tabulka4[30.11.2026])</f>
        <v>754213.88888888899</v>
      </c>
      <c r="AZ2" s="43">
        <f>SUBTOTAL(9,Tabulka4[31.12.2026])</f>
        <v>754213.88888888899</v>
      </c>
      <c r="BA2" s="43">
        <f>SUBTOTAL(9,Tabulka4[Celkem 2026])</f>
        <v>9080566.666666666</v>
      </c>
      <c r="BB2" s="45">
        <f>SUBTOTAL(9,Tabulka4[Celkem 2022 - 2026])</f>
        <v>51972723.170000002</v>
      </c>
      <c r="BC2" s="50">
        <f>BB2-3000000</f>
        <v>48972723.170000002</v>
      </c>
    </row>
    <row r="3" spans="1:55" ht="16" thickBot="1">
      <c r="A3" s="47" t="s">
        <v>57</v>
      </c>
      <c r="B3" s="43">
        <f t="shared" ref="B3:BB3" si="0">B2*1.21</f>
        <v>732050</v>
      </c>
      <c r="C3" s="43">
        <f t="shared" si="0"/>
        <v>187550</v>
      </c>
      <c r="D3" s="43">
        <f t="shared" si="0"/>
        <v>635219.75</v>
      </c>
      <c r="E3" s="43">
        <f t="shared" si="0"/>
        <v>5905247.7000000002</v>
      </c>
      <c r="F3" s="43">
        <f t="shared" si="0"/>
        <v>7333772.1875000009</v>
      </c>
      <c r="G3" s="43">
        <f t="shared" si="0"/>
        <v>6601169.4232000001</v>
      </c>
      <c r="H3" s="43">
        <f t="shared" si="0"/>
        <v>4812408.9749999996</v>
      </c>
      <c r="I3" s="43">
        <f t="shared" si="0"/>
        <v>762784</v>
      </c>
      <c r="J3" s="43">
        <f t="shared" si="0"/>
        <v>738584</v>
      </c>
      <c r="K3" s="43">
        <f t="shared" si="0"/>
        <v>738584</v>
      </c>
      <c r="L3" s="43">
        <f t="shared" si="0"/>
        <v>738584</v>
      </c>
      <c r="M3" s="43">
        <f t="shared" si="0"/>
        <v>738584</v>
      </c>
      <c r="N3" s="43">
        <f t="shared" si="0"/>
        <v>29924538.035699997</v>
      </c>
      <c r="O3" s="43">
        <f t="shared" si="0"/>
        <v>936798.80555555562</v>
      </c>
      <c r="P3" s="43">
        <f t="shared" si="0"/>
        <v>912598.80555555562</v>
      </c>
      <c r="Q3" s="43">
        <f t="shared" si="0"/>
        <v>912598.80555555562</v>
      </c>
      <c r="R3" s="43">
        <f t="shared" si="0"/>
        <v>912598.80555555562</v>
      </c>
      <c r="S3" s="43">
        <f t="shared" si="0"/>
        <v>912598.80555555562</v>
      </c>
      <c r="T3" s="43">
        <f t="shared" si="0"/>
        <v>918648.80555555562</v>
      </c>
      <c r="U3" s="43">
        <f t="shared" si="0"/>
        <v>912598.80555555562</v>
      </c>
      <c r="V3" s="43">
        <f t="shared" si="0"/>
        <v>912598.80555555562</v>
      </c>
      <c r="W3" s="43">
        <f t="shared" si="0"/>
        <v>912598.80555555562</v>
      </c>
      <c r="X3" s="43">
        <f t="shared" si="0"/>
        <v>918648.80555555562</v>
      </c>
      <c r="Y3" s="43">
        <f t="shared" si="0"/>
        <v>912598.80555555562</v>
      </c>
      <c r="Z3" s="43">
        <f t="shared" si="0"/>
        <v>912598.80555555562</v>
      </c>
      <c r="AA3" s="43">
        <f t="shared" si="0"/>
        <v>10987485.666666666</v>
      </c>
      <c r="AB3" s="43">
        <f t="shared" si="0"/>
        <v>936798.80555555562</v>
      </c>
      <c r="AC3" s="43">
        <f t="shared" si="0"/>
        <v>912598.80555555562</v>
      </c>
      <c r="AD3" s="43">
        <f t="shared" si="0"/>
        <v>912598.80555555562</v>
      </c>
      <c r="AE3" s="43">
        <f t="shared" si="0"/>
        <v>912598.80555555562</v>
      </c>
      <c r="AF3" s="43">
        <f t="shared" si="0"/>
        <v>918648.80555555562</v>
      </c>
      <c r="AG3" s="43">
        <f t="shared" si="0"/>
        <v>912598.80555555562</v>
      </c>
      <c r="AH3" s="43">
        <f t="shared" si="0"/>
        <v>912598.80555555562</v>
      </c>
      <c r="AI3" s="43">
        <f t="shared" si="0"/>
        <v>912598.80555555562</v>
      </c>
      <c r="AJ3" s="43">
        <f t="shared" si="0"/>
        <v>912598.80555555562</v>
      </c>
      <c r="AK3" s="43">
        <f t="shared" si="0"/>
        <v>918648.80555555562</v>
      </c>
      <c r="AL3" s="43">
        <f t="shared" si="0"/>
        <v>912598.80555555562</v>
      </c>
      <c r="AM3" s="43">
        <f t="shared" si="0"/>
        <v>912598.80555555562</v>
      </c>
      <c r="AN3" s="43">
        <f t="shared" si="0"/>
        <v>10987485.666666666</v>
      </c>
      <c r="AO3" s="43">
        <f t="shared" si="0"/>
        <v>936798.80555555562</v>
      </c>
      <c r="AP3" s="43">
        <f t="shared" si="0"/>
        <v>912598.80555555562</v>
      </c>
      <c r="AQ3" s="43">
        <f t="shared" si="0"/>
        <v>912598.80555555562</v>
      </c>
      <c r="AR3" s="43">
        <f t="shared" si="0"/>
        <v>912598.80555555562</v>
      </c>
      <c r="AS3" s="43">
        <f t="shared" si="0"/>
        <v>918648.80555555562</v>
      </c>
      <c r="AT3" s="43">
        <f t="shared" si="0"/>
        <v>912598.80555555562</v>
      </c>
      <c r="AU3" s="43">
        <f t="shared" si="0"/>
        <v>912598.80555555562</v>
      </c>
      <c r="AV3" s="43">
        <f t="shared" si="0"/>
        <v>912598.80555555562</v>
      </c>
      <c r="AW3" s="43">
        <f t="shared" si="0"/>
        <v>912598.80555555562</v>
      </c>
      <c r="AX3" s="43">
        <f t="shared" si="0"/>
        <v>918648.80555555562</v>
      </c>
      <c r="AY3" s="43">
        <f t="shared" si="0"/>
        <v>912598.80555555562</v>
      </c>
      <c r="AZ3" s="43">
        <f t="shared" si="0"/>
        <v>912598.80555555562</v>
      </c>
      <c r="BA3" s="43">
        <f t="shared" si="0"/>
        <v>10987485.666666666</v>
      </c>
      <c r="BB3" s="44">
        <f t="shared" si="0"/>
        <v>62886995.035700001</v>
      </c>
      <c r="BC3" s="51">
        <f>BC2*1.21</f>
        <v>59256995.035700001</v>
      </c>
    </row>
    <row r="6" spans="1:55">
      <c r="A6" s="48" t="s">
        <v>58</v>
      </c>
      <c r="B6" t="s">
        <v>70</v>
      </c>
      <c r="C6" t="s">
        <v>71</v>
      </c>
      <c r="D6" t="s">
        <v>72</v>
      </c>
      <c r="E6" t="s">
        <v>73</v>
      </c>
      <c r="F6" t="s">
        <v>74</v>
      </c>
      <c r="G6" t="s">
        <v>75</v>
      </c>
      <c r="H6" t="s">
        <v>76</v>
      </c>
      <c r="I6" t="s">
        <v>77</v>
      </c>
      <c r="J6" t="s">
        <v>78</v>
      </c>
      <c r="K6" t="s">
        <v>79</v>
      </c>
      <c r="L6" t="s">
        <v>80</v>
      </c>
      <c r="M6" t="s">
        <v>81</v>
      </c>
      <c r="N6" s="48" t="s">
        <v>82</v>
      </c>
      <c r="O6" t="s">
        <v>83</v>
      </c>
      <c r="P6" t="s">
        <v>84</v>
      </c>
      <c r="Q6" t="s">
        <v>85</v>
      </c>
      <c r="R6" t="s">
        <v>86</v>
      </c>
      <c r="S6" t="s">
        <v>87</v>
      </c>
      <c r="T6" t="s">
        <v>88</v>
      </c>
      <c r="U6" t="s">
        <v>89</v>
      </c>
      <c r="V6" t="s">
        <v>90</v>
      </c>
      <c r="W6" t="s">
        <v>91</v>
      </c>
      <c r="X6" t="s">
        <v>92</v>
      </c>
      <c r="Y6" t="s">
        <v>93</v>
      </c>
      <c r="Z6" t="s">
        <v>94</v>
      </c>
      <c r="AA6" s="48" t="s">
        <v>95</v>
      </c>
      <c r="AB6" t="s">
        <v>96</v>
      </c>
      <c r="AC6" t="s">
        <v>97</v>
      </c>
      <c r="AD6" t="s">
        <v>98</v>
      </c>
      <c r="AE6" t="s">
        <v>99</v>
      </c>
      <c r="AF6" t="s">
        <v>100</v>
      </c>
      <c r="AG6" t="s">
        <v>101</v>
      </c>
      <c r="AH6" t="s">
        <v>102</v>
      </c>
      <c r="AI6" t="s">
        <v>103</v>
      </c>
      <c r="AJ6" t="s">
        <v>104</v>
      </c>
      <c r="AK6" t="s">
        <v>105</v>
      </c>
      <c r="AL6" t="s">
        <v>106</v>
      </c>
      <c r="AM6" t="s">
        <v>107</v>
      </c>
      <c r="AN6" s="48" t="s">
        <v>108</v>
      </c>
      <c r="AO6" t="s">
        <v>109</v>
      </c>
      <c r="AP6" t="s">
        <v>110</v>
      </c>
      <c r="AQ6" t="s">
        <v>111</v>
      </c>
      <c r="AR6" t="s">
        <v>112</v>
      </c>
      <c r="AS6" t="s">
        <v>113</v>
      </c>
      <c r="AT6" t="s">
        <v>114</v>
      </c>
      <c r="AU6" t="s">
        <v>115</v>
      </c>
      <c r="AV6" t="s">
        <v>116</v>
      </c>
      <c r="AW6" t="s">
        <v>117</v>
      </c>
      <c r="AX6" t="s">
        <v>118</v>
      </c>
      <c r="AY6" t="s">
        <v>119</v>
      </c>
      <c r="AZ6" t="s">
        <v>120</v>
      </c>
      <c r="BA6" s="48" t="s">
        <v>121</v>
      </c>
      <c r="BB6" t="s">
        <v>122</v>
      </c>
    </row>
    <row r="7" spans="1:55">
      <c r="A7" s="48" t="s">
        <v>17</v>
      </c>
      <c r="B7" s="2"/>
      <c r="C7" s="2"/>
      <c r="D7" s="2">
        <f>Datahub!$F$6*1.15*1.1</f>
        <v>524975</v>
      </c>
      <c r="E7" s="2">
        <f>Datahub!$F$7*1.15*1.1</f>
        <v>4880370</v>
      </c>
      <c r="F7" s="2">
        <f>Datahub!$F$8*1.15*1.1</f>
        <v>5905968.7500000009</v>
      </c>
      <c r="G7" s="2">
        <f>Datahub!$F$12*1.15*1.1</f>
        <v>1478314.4200000002</v>
      </c>
      <c r="H7" s="2"/>
      <c r="I7" s="2"/>
      <c r="J7" s="2"/>
      <c r="K7" s="2"/>
      <c r="L7" s="2"/>
      <c r="M7" s="2"/>
      <c r="N7" s="43">
        <f>SUM(B7:M7)</f>
        <v>12789628.17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43">
        <f>SUM(O7:Z7)</f>
        <v>0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43">
        <f>SUM(AB7:AM7)</f>
        <v>0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43">
        <f>SUM(AO7:AZ7)</f>
        <v>0</v>
      </c>
      <c r="BB7" s="43">
        <f>Tabulka4[[#This Row],[Celkem 2023]]+Tabulka4[[#This Row],[Celkem 2024]]+Tabulka4[[#This Row],[Celkem 2025]]+Tabulka4[[#This Row],[Celkem 2026]]</f>
        <v>12789628.17</v>
      </c>
    </row>
    <row r="8" spans="1:55">
      <c r="A8" s="48" t="s">
        <v>59</v>
      </c>
      <c r="B8" s="2"/>
      <c r="C8" s="2"/>
      <c r="D8" s="2"/>
      <c r="E8" s="2"/>
      <c r="F8" s="2"/>
      <c r="G8" s="2">
        <f>((Datahub!$F$9+Datahub!$F$10+Datahub!$F$11)*1.15)/2</f>
        <v>3822197.4999999995</v>
      </c>
      <c r="H8" s="2">
        <f>((Datahub!$F$9+Datahub!$F$10+Datahub!$F$11)*1.15)/2</f>
        <v>3822197.4999999995</v>
      </c>
      <c r="I8" s="2"/>
      <c r="J8" s="2"/>
      <c r="K8" s="2"/>
      <c r="L8" s="2"/>
      <c r="M8" s="2"/>
      <c r="N8" s="43">
        <f t="shared" ref="N8:N18" si="1">SUM(B8:M8)</f>
        <v>7644394.9999999991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3">
        <f t="shared" ref="AA8:AA18" si="2">SUM(O8:Z8)</f>
        <v>0</v>
      </c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43">
        <f t="shared" ref="AN8:AN18" si="3">SUM(AB8:AM8)</f>
        <v>0</v>
      </c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43">
        <f t="shared" ref="BA8:BA18" si="4">SUM(AO8:AZ8)</f>
        <v>0</v>
      </c>
      <c r="BB8" s="43">
        <f>Tabulka4[[#This Row],[Celkem 2023]]+Tabulka4[[#This Row],[Celkem 2024]]+Tabulka4[[#This Row],[Celkem 2025]]+Tabulka4[[#This Row],[Celkem 2026]]</f>
        <v>7644394.9999999991</v>
      </c>
    </row>
    <row r="9" spans="1:55">
      <c r="A9" s="48" t="s">
        <v>60</v>
      </c>
      <c r="B9" s="2">
        <f>Datahub!$F$19</f>
        <v>450000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43">
        <f>SUM(B9:M9)</f>
        <v>450000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43">
        <f t="shared" si="2"/>
        <v>0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43">
        <f t="shared" si="3"/>
        <v>0</v>
      </c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43">
        <f t="shared" si="4"/>
        <v>0</v>
      </c>
      <c r="BB9" s="43">
        <f>Tabulka4[[#This Row],[Celkem 2023]]+Tabulka4[[#This Row],[Celkem 2024]]+Tabulka4[[#This Row],[Celkem 2025]]+Tabulka4[[#This Row],[Celkem 2026]]</f>
        <v>450000</v>
      </c>
    </row>
    <row r="10" spans="1:55">
      <c r="A10" s="48" t="s">
        <v>61</v>
      </c>
      <c r="B10" s="2">
        <f>Datahub!$E$17</f>
        <v>155000</v>
      </c>
      <c r="C10" s="2">
        <f>Datahub!$E$17</f>
        <v>155000</v>
      </c>
      <c r="D10" s="2"/>
      <c r="E10" s="2"/>
      <c r="F10" s="2">
        <f>Datahub!$E$17</f>
        <v>155000</v>
      </c>
      <c r="G10" s="2">
        <f>Datahub!$E$17</f>
        <v>155000</v>
      </c>
      <c r="H10" s="2">
        <f>Datahub!$E$17</f>
        <v>155000</v>
      </c>
      <c r="I10" s="2">
        <f>Datahub!$E$17</f>
        <v>155000</v>
      </c>
      <c r="J10" s="2">
        <f>Datahub!$E$17</f>
        <v>155000</v>
      </c>
      <c r="K10" s="2">
        <f>Datahub!$E$17</f>
        <v>155000</v>
      </c>
      <c r="L10" s="2">
        <f>Datahub!$E$17</f>
        <v>155000</v>
      </c>
      <c r="M10" s="2">
        <f>Datahub!$E$17</f>
        <v>155000</v>
      </c>
      <c r="N10" s="43">
        <f t="shared" si="1"/>
        <v>1550000</v>
      </c>
      <c r="O10" s="2">
        <f>Datahub!$E$17</f>
        <v>155000</v>
      </c>
      <c r="P10" s="2">
        <f>Datahub!$E$17</f>
        <v>155000</v>
      </c>
      <c r="Q10" s="2">
        <f>Datahub!$E$17</f>
        <v>155000</v>
      </c>
      <c r="R10" s="2">
        <f>Datahub!$E$17</f>
        <v>155000</v>
      </c>
      <c r="S10" s="2">
        <f>Datahub!$E$17</f>
        <v>155000</v>
      </c>
      <c r="T10" s="2">
        <f>Datahub!$E$17</f>
        <v>155000</v>
      </c>
      <c r="U10" s="2">
        <f>Datahub!$E$17</f>
        <v>155000</v>
      </c>
      <c r="V10" s="2">
        <f>Datahub!$E$17</f>
        <v>155000</v>
      </c>
      <c r="W10" s="2">
        <f>Datahub!$E$17</f>
        <v>155000</v>
      </c>
      <c r="X10" s="2">
        <f>Datahub!$E$17</f>
        <v>155000</v>
      </c>
      <c r="Y10" s="2">
        <f>Datahub!$E$17</f>
        <v>155000</v>
      </c>
      <c r="Z10" s="2">
        <f>Datahub!$E$17</f>
        <v>155000</v>
      </c>
      <c r="AA10" s="43">
        <f t="shared" si="2"/>
        <v>1860000</v>
      </c>
      <c r="AB10" s="2">
        <f>Datahub!$E$17</f>
        <v>155000</v>
      </c>
      <c r="AC10" s="2">
        <f>Datahub!$E$17</f>
        <v>155000</v>
      </c>
      <c r="AD10" s="2">
        <f>Datahub!$E$17</f>
        <v>155000</v>
      </c>
      <c r="AE10" s="2">
        <f>Datahub!$E$17</f>
        <v>155000</v>
      </c>
      <c r="AF10" s="2">
        <f>Datahub!$E$17</f>
        <v>155000</v>
      </c>
      <c r="AG10" s="2">
        <f>Datahub!$E$17</f>
        <v>155000</v>
      </c>
      <c r="AH10" s="2">
        <f>Datahub!$E$17</f>
        <v>155000</v>
      </c>
      <c r="AI10" s="2">
        <f>Datahub!$E$17</f>
        <v>155000</v>
      </c>
      <c r="AJ10" s="2">
        <f>Datahub!$E$17</f>
        <v>155000</v>
      </c>
      <c r="AK10" s="2">
        <f>Datahub!$E$17</f>
        <v>155000</v>
      </c>
      <c r="AL10" s="2">
        <f>Datahub!$E$17</f>
        <v>155000</v>
      </c>
      <c r="AM10" s="2">
        <f>Datahub!$E$17</f>
        <v>155000</v>
      </c>
      <c r="AN10" s="43">
        <f t="shared" si="3"/>
        <v>1860000</v>
      </c>
      <c r="AO10" s="2">
        <f>Datahub!$E$17</f>
        <v>155000</v>
      </c>
      <c r="AP10" s="2">
        <f>Datahub!$E$17</f>
        <v>155000</v>
      </c>
      <c r="AQ10" s="2">
        <f>Datahub!$E$17</f>
        <v>155000</v>
      </c>
      <c r="AR10" s="2">
        <f>Datahub!$E$17</f>
        <v>155000</v>
      </c>
      <c r="AS10" s="2">
        <f>Datahub!$E$17</f>
        <v>155000</v>
      </c>
      <c r="AT10" s="2">
        <f>Datahub!$E$17</f>
        <v>155000</v>
      </c>
      <c r="AU10" s="2">
        <f>Datahub!$E$17</f>
        <v>155000</v>
      </c>
      <c r="AV10" s="2">
        <f>Datahub!$E$17</f>
        <v>155000</v>
      </c>
      <c r="AW10" s="2">
        <f>Datahub!$E$17</f>
        <v>155000</v>
      </c>
      <c r="AX10" s="2">
        <f>Datahub!$E$17</f>
        <v>155000</v>
      </c>
      <c r="AY10" s="2">
        <f>Datahub!$E$17</f>
        <v>155000</v>
      </c>
      <c r="AZ10" s="2">
        <f>Datahub!$E$17</f>
        <v>155000</v>
      </c>
      <c r="BA10" s="43">
        <f t="shared" si="4"/>
        <v>1860000</v>
      </c>
      <c r="BB10" s="43">
        <f>Tabulka4[[#This Row],[Celkem 2023]]+Tabulka4[[#This Row],[Celkem 2024]]+Tabulka4[[#This Row],[Celkem 2025]]+Tabulka4[[#This Row],[Celkem 2026]]</f>
        <v>7130000</v>
      </c>
    </row>
    <row r="11" spans="1:55">
      <c r="A11" s="48" t="s">
        <v>62</v>
      </c>
      <c r="B11" s="2"/>
      <c r="C11" s="2"/>
      <c r="D11" s="2"/>
      <c r="E11" s="2"/>
      <c r="F11" s="2"/>
      <c r="G11" s="2"/>
      <c r="H11" s="2"/>
      <c r="I11" s="2">
        <f>Datahub!$E$14</f>
        <v>138000</v>
      </c>
      <c r="J11" s="2">
        <f>Datahub!$E$14</f>
        <v>138000</v>
      </c>
      <c r="K11" s="2">
        <f>Datahub!$E$14</f>
        <v>138000</v>
      </c>
      <c r="L11" s="2">
        <f>Datahub!$E$14</f>
        <v>138000</v>
      </c>
      <c r="M11" s="2">
        <f>Datahub!$E$14</f>
        <v>138000</v>
      </c>
      <c r="N11" s="43">
        <f t="shared" si="1"/>
        <v>690000</v>
      </c>
      <c r="O11" s="2">
        <f>Datahub!$E$14</f>
        <v>138000</v>
      </c>
      <c r="P11" s="2">
        <f>Datahub!$E$14</f>
        <v>138000</v>
      </c>
      <c r="Q11" s="2">
        <f>Datahub!$E$14</f>
        <v>138000</v>
      </c>
      <c r="R11" s="2">
        <f>Datahub!$E$14</f>
        <v>138000</v>
      </c>
      <c r="S11" s="2">
        <f>Datahub!$E$14</f>
        <v>138000</v>
      </c>
      <c r="T11" s="2">
        <f>Datahub!$E$14</f>
        <v>138000</v>
      </c>
      <c r="U11" s="2">
        <f>Datahub!$E$14</f>
        <v>138000</v>
      </c>
      <c r="V11" s="2">
        <f>Datahub!$E$14</f>
        <v>138000</v>
      </c>
      <c r="W11" s="2">
        <f>Datahub!$E$14</f>
        <v>138000</v>
      </c>
      <c r="X11" s="2">
        <f>Datahub!$E$14</f>
        <v>138000</v>
      </c>
      <c r="Y11" s="2">
        <f>Datahub!$E$14</f>
        <v>138000</v>
      </c>
      <c r="Z11" s="2">
        <f>Datahub!$E$14</f>
        <v>138000</v>
      </c>
      <c r="AA11" s="43">
        <f t="shared" si="2"/>
        <v>1656000</v>
      </c>
      <c r="AB11" s="2">
        <f>Datahub!$E$14</f>
        <v>138000</v>
      </c>
      <c r="AC11" s="2">
        <f>Datahub!$E$14</f>
        <v>138000</v>
      </c>
      <c r="AD11" s="2">
        <f>Datahub!$E$14</f>
        <v>138000</v>
      </c>
      <c r="AE11" s="2">
        <f>Datahub!$E$14</f>
        <v>138000</v>
      </c>
      <c r="AF11" s="2">
        <f>Datahub!$E$14</f>
        <v>138000</v>
      </c>
      <c r="AG11" s="2">
        <f>Datahub!$E$14</f>
        <v>138000</v>
      </c>
      <c r="AH11" s="2">
        <f>Datahub!$E$14</f>
        <v>138000</v>
      </c>
      <c r="AI11" s="2">
        <f>Datahub!$E$14</f>
        <v>138000</v>
      </c>
      <c r="AJ11" s="2">
        <f>Datahub!$E$14</f>
        <v>138000</v>
      </c>
      <c r="AK11" s="2">
        <f>Datahub!$E$14</f>
        <v>138000</v>
      </c>
      <c r="AL11" s="2">
        <f>Datahub!$E$14</f>
        <v>138000</v>
      </c>
      <c r="AM11" s="2">
        <f>Datahub!$E$14</f>
        <v>138000</v>
      </c>
      <c r="AN11" s="43">
        <f t="shared" si="3"/>
        <v>1656000</v>
      </c>
      <c r="AO11" s="2">
        <f>Datahub!$E$14</f>
        <v>138000</v>
      </c>
      <c r="AP11" s="2">
        <f>Datahub!$E$14</f>
        <v>138000</v>
      </c>
      <c r="AQ11" s="2">
        <f>Datahub!$E$14</f>
        <v>138000</v>
      </c>
      <c r="AR11" s="2">
        <f>Datahub!$E$14</f>
        <v>138000</v>
      </c>
      <c r="AS11" s="2">
        <f>Datahub!$E$14</f>
        <v>138000</v>
      </c>
      <c r="AT11" s="2">
        <f>Datahub!$E$14</f>
        <v>138000</v>
      </c>
      <c r="AU11" s="2">
        <f>Datahub!$E$14</f>
        <v>138000</v>
      </c>
      <c r="AV11" s="2">
        <f>Datahub!$E$14</f>
        <v>138000</v>
      </c>
      <c r="AW11" s="2">
        <f>Datahub!$E$14</f>
        <v>138000</v>
      </c>
      <c r="AX11" s="2">
        <f>Datahub!$E$14</f>
        <v>138000</v>
      </c>
      <c r="AY11" s="2">
        <f>Datahub!$E$14</f>
        <v>138000</v>
      </c>
      <c r="AZ11" s="2">
        <f>Datahub!$E$14</f>
        <v>138000</v>
      </c>
      <c r="BA11" s="43">
        <f t="shared" si="4"/>
        <v>1656000</v>
      </c>
      <c r="BB11" s="43">
        <f>Tabulka4[[#This Row],[Celkem 2023]]+Tabulka4[[#This Row],[Celkem 2024]]+Tabulka4[[#This Row],[Celkem 2025]]+Tabulka4[[#This Row],[Celkem 2026]]</f>
        <v>5658000</v>
      </c>
    </row>
    <row r="12" spans="1:55">
      <c r="A12" s="48" t="s">
        <v>63</v>
      </c>
      <c r="B12" s="2"/>
      <c r="C12" s="2"/>
      <c r="D12" s="2"/>
      <c r="E12" s="2"/>
      <c r="F12" s="2"/>
      <c r="G12" s="2"/>
      <c r="H12" s="2"/>
      <c r="I12" s="2">
        <f>Datahub!$E$15+Datahub!$E$16</f>
        <v>246400.00000000006</v>
      </c>
      <c r="J12" s="2">
        <f>Datahub!$E$15+Datahub!$E$16</f>
        <v>246400.00000000006</v>
      </c>
      <c r="K12" s="2">
        <f>Datahub!$E$15+Datahub!$E$16</f>
        <v>246400.00000000006</v>
      </c>
      <c r="L12" s="2">
        <f>Datahub!$E$15+Datahub!$E$16</f>
        <v>246400.00000000006</v>
      </c>
      <c r="M12" s="2">
        <f>Datahub!$E$15+Datahub!$E$16</f>
        <v>246400.00000000006</v>
      </c>
      <c r="N12" s="43">
        <f t="shared" si="1"/>
        <v>1232000.0000000002</v>
      </c>
      <c r="O12" s="2">
        <f>Datahub!$E$15+Datahub!$E$16</f>
        <v>246400.00000000006</v>
      </c>
      <c r="P12" s="2">
        <f>Datahub!$E$15+Datahub!$E$16</f>
        <v>246400.00000000006</v>
      </c>
      <c r="Q12" s="2">
        <f>Datahub!$E$15+Datahub!$E$16</f>
        <v>246400.00000000006</v>
      </c>
      <c r="R12" s="2">
        <f>Datahub!$E$15+Datahub!$E$16</f>
        <v>246400.00000000006</v>
      </c>
      <c r="S12" s="2">
        <f>Datahub!$E$15+Datahub!$E$16</f>
        <v>246400.00000000006</v>
      </c>
      <c r="T12" s="2">
        <f>Datahub!$E$15+Datahub!$E$16</f>
        <v>246400.00000000006</v>
      </c>
      <c r="U12" s="2">
        <f>Datahub!$E$15+Datahub!$E$16</f>
        <v>246400.00000000006</v>
      </c>
      <c r="V12" s="2">
        <f>Datahub!$E$15+Datahub!$E$16</f>
        <v>246400.00000000006</v>
      </c>
      <c r="W12" s="2">
        <f>Datahub!$E$15+Datahub!$E$16</f>
        <v>246400.00000000006</v>
      </c>
      <c r="X12" s="2">
        <f>Datahub!$E$15+Datahub!$E$16</f>
        <v>246400.00000000006</v>
      </c>
      <c r="Y12" s="2">
        <f>Datahub!$E$15+Datahub!$E$16</f>
        <v>246400.00000000006</v>
      </c>
      <c r="Z12" s="2">
        <f>Datahub!$E$15+Datahub!$E$16</f>
        <v>246400.00000000006</v>
      </c>
      <c r="AA12" s="43">
        <f t="shared" si="2"/>
        <v>2956800.0000000005</v>
      </c>
      <c r="AB12" s="2">
        <f>Datahub!$E$15+Datahub!$E$16</f>
        <v>246400.00000000006</v>
      </c>
      <c r="AC12" s="2">
        <f>Datahub!$E$15+Datahub!$E$16</f>
        <v>246400.00000000006</v>
      </c>
      <c r="AD12" s="2">
        <f>Datahub!$E$15+Datahub!$E$16</f>
        <v>246400.00000000006</v>
      </c>
      <c r="AE12" s="2">
        <f>Datahub!$E$15+Datahub!$E$16</f>
        <v>246400.00000000006</v>
      </c>
      <c r="AF12" s="2">
        <f>Datahub!$E$15+Datahub!$E$16</f>
        <v>246400.00000000006</v>
      </c>
      <c r="AG12" s="2">
        <f>Datahub!$E$15+Datahub!$E$16</f>
        <v>246400.00000000006</v>
      </c>
      <c r="AH12" s="2">
        <f>Datahub!$E$15+Datahub!$E$16</f>
        <v>246400.00000000006</v>
      </c>
      <c r="AI12" s="2">
        <f>Datahub!$E$15+Datahub!$E$16</f>
        <v>246400.00000000006</v>
      </c>
      <c r="AJ12" s="2">
        <f>Datahub!$E$15+Datahub!$E$16</f>
        <v>246400.00000000006</v>
      </c>
      <c r="AK12" s="2">
        <f>Datahub!$E$15+Datahub!$E$16</f>
        <v>246400.00000000006</v>
      </c>
      <c r="AL12" s="2">
        <f>Datahub!$E$15+Datahub!$E$16</f>
        <v>246400.00000000006</v>
      </c>
      <c r="AM12" s="2">
        <f>Datahub!$E$15+Datahub!$E$16</f>
        <v>246400.00000000006</v>
      </c>
      <c r="AN12" s="43">
        <f t="shared" si="3"/>
        <v>2956800.0000000005</v>
      </c>
      <c r="AO12" s="2">
        <f>Datahub!$E$15+Datahub!$E$16</f>
        <v>246400.00000000006</v>
      </c>
      <c r="AP12" s="2">
        <f>Datahub!$E$15+Datahub!$E$16</f>
        <v>246400.00000000006</v>
      </c>
      <c r="AQ12" s="2">
        <f>Datahub!$E$15+Datahub!$E$16</f>
        <v>246400.00000000006</v>
      </c>
      <c r="AR12" s="2">
        <f>Datahub!$E$15+Datahub!$E$16</f>
        <v>246400.00000000006</v>
      </c>
      <c r="AS12" s="2">
        <f>Datahub!$E$15+Datahub!$E$16</f>
        <v>246400.00000000006</v>
      </c>
      <c r="AT12" s="2">
        <f>Datahub!$E$15+Datahub!$E$16</f>
        <v>246400.00000000006</v>
      </c>
      <c r="AU12" s="2">
        <f>Datahub!$E$15+Datahub!$E$16</f>
        <v>246400.00000000006</v>
      </c>
      <c r="AV12" s="2">
        <f>Datahub!$E$15+Datahub!$E$16</f>
        <v>246400.00000000006</v>
      </c>
      <c r="AW12" s="2">
        <f>Datahub!$E$15+Datahub!$E$16</f>
        <v>246400.00000000006</v>
      </c>
      <c r="AX12" s="2">
        <f>Datahub!$E$15+Datahub!$E$16</f>
        <v>246400.00000000006</v>
      </c>
      <c r="AY12" s="2">
        <f>Datahub!$E$15+Datahub!$E$16</f>
        <v>246400.00000000006</v>
      </c>
      <c r="AZ12" s="2">
        <f>Datahub!$E$15+Datahub!$E$16</f>
        <v>246400.00000000006</v>
      </c>
      <c r="BA12" s="43">
        <f t="shared" si="4"/>
        <v>2956800.0000000005</v>
      </c>
      <c r="BB12" s="43">
        <f>Tabulka4[[#This Row],[Celkem 2023]]+Tabulka4[[#This Row],[Celkem 2024]]+Tabulka4[[#This Row],[Celkem 2025]]+Tabulka4[[#This Row],[Celkem 2026]]</f>
        <v>10102400.000000002</v>
      </c>
    </row>
    <row r="13" spans="1:55">
      <c r="A13" s="48" t="s">
        <v>64</v>
      </c>
      <c r="B13" s="2"/>
      <c r="C13" s="2"/>
      <c r="D13" s="2"/>
      <c r="E13" s="2"/>
      <c r="F13" s="2"/>
      <c r="G13" s="2"/>
      <c r="H13" s="2"/>
      <c r="I13" s="2">
        <f>Datahub!$E$20</f>
        <v>20000</v>
      </c>
      <c r="J13" s="2"/>
      <c r="K13" s="2"/>
      <c r="L13" s="2"/>
      <c r="M13" s="2"/>
      <c r="N13" s="43">
        <f t="shared" si="1"/>
        <v>20000</v>
      </c>
      <c r="O13" s="2">
        <f>Datahub!$E$20</f>
        <v>20000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43">
        <f t="shared" si="2"/>
        <v>20000</v>
      </c>
      <c r="AB13" s="2">
        <f>Datahub!$E$20</f>
        <v>20000</v>
      </c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43">
        <f t="shared" si="3"/>
        <v>20000</v>
      </c>
      <c r="AO13" s="2">
        <f>Datahub!$E$20</f>
        <v>20000</v>
      </c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43">
        <f t="shared" si="4"/>
        <v>20000</v>
      </c>
      <c r="BB13" s="43">
        <f>Tabulka4[[#This Row],[Celkem 2023]]+Tabulka4[[#This Row],[Celkem 2024]]+Tabulka4[[#This Row],[Celkem 2025]]+Tabulka4[[#This Row],[Celkem 2026]]</f>
        <v>80000</v>
      </c>
    </row>
    <row r="14" spans="1:55">
      <c r="A14" s="48" t="s">
        <v>65</v>
      </c>
      <c r="B14" s="2"/>
      <c r="C14" s="2"/>
      <c r="D14" s="2"/>
      <c r="E14" s="2"/>
      <c r="F14" s="2"/>
      <c r="G14" s="2"/>
      <c r="H14" s="2"/>
      <c r="I14" s="2">
        <f>Datahub!$E$21</f>
        <v>1000</v>
      </c>
      <c r="J14" s="2">
        <f>Datahub!$E$21</f>
        <v>1000</v>
      </c>
      <c r="K14" s="2">
        <f>Datahub!$E$21</f>
        <v>1000</v>
      </c>
      <c r="L14" s="2">
        <f>Datahub!$E$21</f>
        <v>1000</v>
      </c>
      <c r="M14" s="2">
        <f>Datahub!$E$21</f>
        <v>1000</v>
      </c>
      <c r="N14" s="43">
        <f t="shared" si="1"/>
        <v>5000</v>
      </c>
      <c r="O14" s="2">
        <f>Datahub!$E$21</f>
        <v>1000</v>
      </c>
      <c r="P14" s="2">
        <f>Datahub!$E$21</f>
        <v>1000</v>
      </c>
      <c r="Q14" s="2">
        <f>Datahub!$E$21</f>
        <v>1000</v>
      </c>
      <c r="R14" s="2">
        <f>Datahub!$E$21</f>
        <v>1000</v>
      </c>
      <c r="S14" s="2">
        <f>Datahub!$E$21</f>
        <v>1000</v>
      </c>
      <c r="T14" s="2">
        <f>Datahub!$E$21</f>
        <v>1000</v>
      </c>
      <c r="U14" s="2">
        <f>Datahub!$E$21</f>
        <v>1000</v>
      </c>
      <c r="V14" s="2">
        <f>Datahub!$E$21</f>
        <v>1000</v>
      </c>
      <c r="W14" s="2">
        <f>Datahub!$E$21</f>
        <v>1000</v>
      </c>
      <c r="X14" s="2">
        <f>Datahub!$E$21</f>
        <v>1000</v>
      </c>
      <c r="Y14" s="2">
        <f>Datahub!$E$21</f>
        <v>1000</v>
      </c>
      <c r="Z14" s="2">
        <f>Datahub!$E$21</f>
        <v>1000</v>
      </c>
      <c r="AA14" s="43">
        <f t="shared" si="2"/>
        <v>12000</v>
      </c>
      <c r="AB14" s="2">
        <f>Datahub!$E$21</f>
        <v>1000</v>
      </c>
      <c r="AC14" s="2">
        <f>Datahub!$E$21</f>
        <v>1000</v>
      </c>
      <c r="AD14" s="2">
        <f>Datahub!$E$21</f>
        <v>1000</v>
      </c>
      <c r="AE14" s="2">
        <f>Datahub!$E$21</f>
        <v>1000</v>
      </c>
      <c r="AF14" s="2">
        <f>Datahub!$E$21</f>
        <v>1000</v>
      </c>
      <c r="AG14" s="2">
        <f>Datahub!$E$21</f>
        <v>1000</v>
      </c>
      <c r="AH14" s="2">
        <f>Datahub!$E$21</f>
        <v>1000</v>
      </c>
      <c r="AI14" s="2">
        <f>Datahub!$E$21</f>
        <v>1000</v>
      </c>
      <c r="AJ14" s="2">
        <f>Datahub!$E$21</f>
        <v>1000</v>
      </c>
      <c r="AK14" s="2">
        <f>Datahub!$E$21</f>
        <v>1000</v>
      </c>
      <c r="AL14" s="2">
        <f>Datahub!$E$21</f>
        <v>1000</v>
      </c>
      <c r="AM14" s="2">
        <f>Datahub!$E$21</f>
        <v>1000</v>
      </c>
      <c r="AN14" s="43">
        <f t="shared" si="3"/>
        <v>12000</v>
      </c>
      <c r="AO14" s="2">
        <f>Datahub!$E$21</f>
        <v>1000</v>
      </c>
      <c r="AP14" s="2">
        <f>Datahub!$E$21</f>
        <v>1000</v>
      </c>
      <c r="AQ14" s="2">
        <f>Datahub!$E$21</f>
        <v>1000</v>
      </c>
      <c r="AR14" s="2">
        <f>Datahub!$E$21</f>
        <v>1000</v>
      </c>
      <c r="AS14" s="2">
        <f>Datahub!$E$21</f>
        <v>1000</v>
      </c>
      <c r="AT14" s="2">
        <f>Datahub!$E$21</f>
        <v>1000</v>
      </c>
      <c r="AU14" s="2">
        <f>Datahub!$E$21</f>
        <v>1000</v>
      </c>
      <c r="AV14" s="2">
        <f>Datahub!$E$21</f>
        <v>1000</v>
      </c>
      <c r="AW14" s="2">
        <f>Datahub!$E$21</f>
        <v>1000</v>
      </c>
      <c r="AX14" s="2">
        <f>Datahub!$E$21</f>
        <v>1000</v>
      </c>
      <c r="AY14" s="2">
        <f>Datahub!$E$21</f>
        <v>1000</v>
      </c>
      <c r="AZ14" s="2">
        <f>Datahub!$E$21</f>
        <v>1000</v>
      </c>
      <c r="BA14" s="43">
        <f t="shared" si="4"/>
        <v>12000</v>
      </c>
      <c r="BB14" s="43">
        <f>Tabulka4[[#This Row],[Celkem 2023]]+Tabulka4[[#This Row],[Celkem 2024]]+Tabulka4[[#This Row],[Celkem 2025]]+Tabulka4[[#This Row],[Celkem 2026]]</f>
        <v>41000</v>
      </c>
    </row>
    <row r="15" spans="1:55">
      <c r="A15" s="48" t="s">
        <v>66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3">
        <f t="shared" si="1"/>
        <v>0</v>
      </c>
      <c r="O15" s="2"/>
      <c r="P15" s="2"/>
      <c r="Q15" s="2"/>
      <c r="R15" s="2"/>
      <c r="S15" s="2"/>
      <c r="T15" s="2">
        <f>Datahub!$E$22/2</f>
        <v>5000</v>
      </c>
      <c r="U15" s="2"/>
      <c r="V15" s="2"/>
      <c r="W15" s="2"/>
      <c r="X15" s="2">
        <f>Datahub!$E$22/2</f>
        <v>5000</v>
      </c>
      <c r="Y15" s="2"/>
      <c r="Z15" s="2"/>
      <c r="AA15" s="43">
        <f t="shared" si="2"/>
        <v>10000</v>
      </c>
      <c r="AB15" s="2"/>
      <c r="AC15" s="2"/>
      <c r="AD15" s="2"/>
      <c r="AE15" s="2"/>
      <c r="AF15" s="2">
        <f>Datahub!$E$22/2</f>
        <v>5000</v>
      </c>
      <c r="AG15" s="2"/>
      <c r="AH15" s="2"/>
      <c r="AI15" s="2"/>
      <c r="AJ15" s="2"/>
      <c r="AK15" s="2">
        <f>Datahub!$E$22/2</f>
        <v>5000</v>
      </c>
      <c r="AL15" s="2"/>
      <c r="AM15" s="2"/>
      <c r="AN15" s="43">
        <f t="shared" si="3"/>
        <v>10000</v>
      </c>
      <c r="AO15" s="2"/>
      <c r="AP15" s="2"/>
      <c r="AQ15" s="2"/>
      <c r="AR15" s="2"/>
      <c r="AS15" s="2">
        <f>Datahub!$E$22/2</f>
        <v>5000</v>
      </c>
      <c r="AT15" s="2"/>
      <c r="AU15" s="2"/>
      <c r="AV15" s="2"/>
      <c r="AW15" s="2"/>
      <c r="AX15" s="2">
        <f>Datahub!$E$22/2</f>
        <v>5000</v>
      </c>
      <c r="AY15" s="2"/>
      <c r="AZ15" s="2"/>
      <c r="BA15" s="43">
        <f t="shared" si="4"/>
        <v>10000</v>
      </c>
      <c r="BB15" s="43">
        <f>Tabulka4[[#This Row],[Celkem 2023]]+Tabulka4[[#This Row],[Celkem 2024]]+Tabulka4[[#This Row],[Celkem 2025]]+Tabulka4[[#This Row],[Celkem 2026]]</f>
        <v>30000</v>
      </c>
    </row>
    <row r="16" spans="1:55">
      <c r="A16" s="48" t="s">
        <v>67</v>
      </c>
      <c r="B16" s="2"/>
      <c r="C16" s="2"/>
      <c r="D16" s="2"/>
      <c r="E16" s="2"/>
      <c r="F16" s="2"/>
      <c r="G16" s="2"/>
      <c r="H16" s="2"/>
      <c r="I16" s="2">
        <f>Datahub!$E$23/5</f>
        <v>20000</v>
      </c>
      <c r="J16" s="2">
        <f>Datahub!$E$23/5</f>
        <v>20000</v>
      </c>
      <c r="K16" s="2">
        <f>Datahub!$E$23/5</f>
        <v>20000</v>
      </c>
      <c r="L16" s="2">
        <f>Datahub!$E$23/5</f>
        <v>20000</v>
      </c>
      <c r="M16" s="2">
        <f>Datahub!$E$23/5</f>
        <v>20000</v>
      </c>
      <c r="N16" s="43">
        <f t="shared" si="1"/>
        <v>100000</v>
      </c>
      <c r="O16" s="2">
        <f>Datahub!$E$23/12</f>
        <v>8333.3333333333339</v>
      </c>
      <c r="P16" s="2">
        <f>Datahub!$E$23/12</f>
        <v>8333.3333333333339</v>
      </c>
      <c r="Q16" s="2">
        <f>Datahub!$E$23/12</f>
        <v>8333.3333333333339</v>
      </c>
      <c r="R16" s="2">
        <f>Datahub!$E$23/12</f>
        <v>8333.3333333333339</v>
      </c>
      <c r="S16" s="2">
        <f>Datahub!$E$23/12</f>
        <v>8333.3333333333339</v>
      </c>
      <c r="T16" s="2">
        <f>Datahub!$E$23/12</f>
        <v>8333.3333333333339</v>
      </c>
      <c r="U16" s="2">
        <f>Datahub!$E$23/12</f>
        <v>8333.3333333333339</v>
      </c>
      <c r="V16" s="2">
        <f>Datahub!$E$23/12</f>
        <v>8333.3333333333339</v>
      </c>
      <c r="W16" s="2">
        <f>Datahub!$E$23/12</f>
        <v>8333.3333333333339</v>
      </c>
      <c r="X16" s="2">
        <f>Datahub!$E$23/12</f>
        <v>8333.3333333333339</v>
      </c>
      <c r="Y16" s="2">
        <f>Datahub!$E$23/12</f>
        <v>8333.3333333333339</v>
      </c>
      <c r="Z16" s="2">
        <f>Datahub!$E$23/12</f>
        <v>8333.3333333333339</v>
      </c>
      <c r="AA16" s="43">
        <f t="shared" si="2"/>
        <v>99999.999999999985</v>
      </c>
      <c r="AB16" s="2">
        <f>Datahub!$E$23/12</f>
        <v>8333.3333333333339</v>
      </c>
      <c r="AC16" s="2">
        <f>Datahub!$E$23/12</f>
        <v>8333.3333333333339</v>
      </c>
      <c r="AD16" s="2">
        <f>Datahub!$E$23/12</f>
        <v>8333.3333333333339</v>
      </c>
      <c r="AE16" s="2">
        <f>Datahub!$E$23/12</f>
        <v>8333.3333333333339</v>
      </c>
      <c r="AF16" s="2">
        <f>Datahub!$E$23/12</f>
        <v>8333.3333333333339</v>
      </c>
      <c r="AG16" s="2">
        <f>Datahub!$E$23/12</f>
        <v>8333.3333333333339</v>
      </c>
      <c r="AH16" s="2">
        <f>Datahub!$E$23/12</f>
        <v>8333.3333333333339</v>
      </c>
      <c r="AI16" s="2">
        <f>Datahub!$E$23/12</f>
        <v>8333.3333333333339</v>
      </c>
      <c r="AJ16" s="2">
        <f>Datahub!$E$23/12</f>
        <v>8333.3333333333339</v>
      </c>
      <c r="AK16" s="2">
        <f>Datahub!$E$23/12</f>
        <v>8333.3333333333339</v>
      </c>
      <c r="AL16" s="2">
        <f>Datahub!$E$23/12</f>
        <v>8333.3333333333339</v>
      </c>
      <c r="AM16" s="2">
        <f>Datahub!$E$23/12</f>
        <v>8333.3333333333339</v>
      </c>
      <c r="AN16" s="43">
        <f t="shared" si="3"/>
        <v>99999.999999999985</v>
      </c>
      <c r="AO16" s="2">
        <f>Datahub!$E$23/12</f>
        <v>8333.3333333333339</v>
      </c>
      <c r="AP16" s="2">
        <f>Datahub!$E$23/12</f>
        <v>8333.3333333333339</v>
      </c>
      <c r="AQ16" s="2">
        <f>Datahub!$E$23/12</f>
        <v>8333.3333333333339</v>
      </c>
      <c r="AR16" s="2">
        <f>Datahub!$E$23/12</f>
        <v>8333.3333333333339</v>
      </c>
      <c r="AS16" s="2">
        <f>Datahub!$E$23/12</f>
        <v>8333.3333333333339</v>
      </c>
      <c r="AT16" s="2">
        <f>Datahub!$E$23/12</f>
        <v>8333.3333333333339</v>
      </c>
      <c r="AU16" s="2">
        <f>Datahub!$E$23/12</f>
        <v>8333.3333333333339</v>
      </c>
      <c r="AV16" s="2">
        <f>Datahub!$E$23/12</f>
        <v>8333.3333333333339</v>
      </c>
      <c r="AW16" s="2">
        <f>Datahub!$E$23/12</f>
        <v>8333.3333333333339</v>
      </c>
      <c r="AX16" s="2">
        <f>Datahub!$E$23/12</f>
        <v>8333.3333333333339</v>
      </c>
      <c r="AY16" s="2">
        <f>Datahub!$E$23/12</f>
        <v>8333.3333333333339</v>
      </c>
      <c r="AZ16" s="2">
        <f>Datahub!$E$23/12</f>
        <v>8333.3333333333339</v>
      </c>
      <c r="BA16" s="43">
        <f t="shared" si="4"/>
        <v>99999.999999999985</v>
      </c>
      <c r="BB16" s="43">
        <f>Tabulka4[[#This Row],[Celkem 2023]]+Tabulka4[[#This Row],[Celkem 2024]]+Tabulka4[[#This Row],[Celkem 2025]]+Tabulka4[[#This Row],[Celkem 2026]]</f>
        <v>400000</v>
      </c>
    </row>
    <row r="17" spans="1:54">
      <c r="A17" s="48" t="s">
        <v>68</v>
      </c>
      <c r="B17" s="2"/>
      <c r="C17" s="2"/>
      <c r="D17" s="2"/>
      <c r="E17" s="2"/>
      <c r="F17" s="2"/>
      <c r="G17" s="2"/>
      <c r="H17" s="2"/>
      <c r="I17" s="2">
        <f>Datahub!$E$24/5</f>
        <v>50000</v>
      </c>
      <c r="J17" s="2">
        <f>Datahub!$E$24/5</f>
        <v>50000</v>
      </c>
      <c r="K17" s="2">
        <f>Datahub!$E$24/5</f>
        <v>50000</v>
      </c>
      <c r="L17" s="2">
        <f>Datahub!$E$24/5</f>
        <v>50000</v>
      </c>
      <c r="M17" s="2">
        <f>Datahub!$E$24/5</f>
        <v>50000</v>
      </c>
      <c r="N17" s="43">
        <f t="shared" si="1"/>
        <v>250000</v>
      </c>
      <c r="O17" s="2">
        <f>Datahub!$E$24/12</f>
        <v>20833.333333333332</v>
      </c>
      <c r="P17" s="2">
        <f>Datahub!$E$24/12</f>
        <v>20833.333333333332</v>
      </c>
      <c r="Q17" s="2">
        <f>Datahub!$E$24/12</f>
        <v>20833.333333333332</v>
      </c>
      <c r="R17" s="2">
        <f>Datahub!$E$24/12</f>
        <v>20833.333333333332</v>
      </c>
      <c r="S17" s="2">
        <f>Datahub!$E$24/12</f>
        <v>20833.333333333332</v>
      </c>
      <c r="T17" s="2">
        <f>Datahub!$E$24/12</f>
        <v>20833.333333333332</v>
      </c>
      <c r="U17" s="2">
        <f>Datahub!$E$24/12</f>
        <v>20833.333333333332</v>
      </c>
      <c r="V17" s="2">
        <f>Datahub!$E$24/12</f>
        <v>20833.333333333332</v>
      </c>
      <c r="W17" s="2">
        <f>Datahub!$E$24/12</f>
        <v>20833.333333333332</v>
      </c>
      <c r="X17" s="2">
        <f>Datahub!$E$24/12</f>
        <v>20833.333333333332</v>
      </c>
      <c r="Y17" s="2">
        <f>Datahub!$E$24/12</f>
        <v>20833.333333333332</v>
      </c>
      <c r="Z17" s="2">
        <f>Datahub!$E$24/12</f>
        <v>20833.333333333332</v>
      </c>
      <c r="AA17" s="43">
        <f t="shared" si="2"/>
        <v>250000.00000000003</v>
      </c>
      <c r="AB17" s="2">
        <f>Datahub!$E$24/12</f>
        <v>20833.333333333332</v>
      </c>
      <c r="AC17" s="2">
        <f>Datahub!$E$24/12</f>
        <v>20833.333333333332</v>
      </c>
      <c r="AD17" s="2">
        <f>Datahub!$E$24/12</f>
        <v>20833.333333333332</v>
      </c>
      <c r="AE17" s="2">
        <f>Datahub!$E$24/12</f>
        <v>20833.333333333332</v>
      </c>
      <c r="AF17" s="2">
        <f>Datahub!$E$24/12</f>
        <v>20833.333333333332</v>
      </c>
      <c r="AG17" s="2">
        <f>Datahub!$E$24/12</f>
        <v>20833.333333333332</v>
      </c>
      <c r="AH17" s="2">
        <f>Datahub!$E$24/12</f>
        <v>20833.333333333332</v>
      </c>
      <c r="AI17" s="2">
        <f>Datahub!$E$24/12</f>
        <v>20833.333333333332</v>
      </c>
      <c r="AJ17" s="2">
        <f>Datahub!$E$24/12</f>
        <v>20833.333333333332</v>
      </c>
      <c r="AK17" s="2">
        <f>Datahub!$E$24/12</f>
        <v>20833.333333333332</v>
      </c>
      <c r="AL17" s="2">
        <f>Datahub!$E$24/12</f>
        <v>20833.333333333332</v>
      </c>
      <c r="AM17" s="2">
        <f>Datahub!$E$24/12</f>
        <v>20833.333333333332</v>
      </c>
      <c r="AN17" s="43">
        <f t="shared" si="3"/>
        <v>250000.00000000003</v>
      </c>
      <c r="AO17" s="2">
        <f>Datahub!$E$24/12</f>
        <v>20833.333333333332</v>
      </c>
      <c r="AP17" s="2">
        <f>Datahub!$E$24/12</f>
        <v>20833.333333333332</v>
      </c>
      <c r="AQ17" s="2">
        <f>Datahub!$E$24/12</f>
        <v>20833.333333333332</v>
      </c>
      <c r="AR17" s="2">
        <f>Datahub!$E$24/12</f>
        <v>20833.333333333332</v>
      </c>
      <c r="AS17" s="2">
        <f>Datahub!$E$24/12</f>
        <v>20833.333333333332</v>
      </c>
      <c r="AT17" s="2">
        <f>Datahub!$E$24/12</f>
        <v>20833.333333333332</v>
      </c>
      <c r="AU17" s="2">
        <f>Datahub!$E$24/12</f>
        <v>20833.333333333332</v>
      </c>
      <c r="AV17" s="2">
        <f>Datahub!$E$24/12</f>
        <v>20833.333333333332</v>
      </c>
      <c r="AW17" s="2">
        <f>Datahub!$E$24/12</f>
        <v>20833.333333333332</v>
      </c>
      <c r="AX17" s="2">
        <f>Datahub!$E$24/12</f>
        <v>20833.333333333332</v>
      </c>
      <c r="AY17" s="2">
        <f>Datahub!$E$24/12</f>
        <v>20833.333333333332</v>
      </c>
      <c r="AZ17" s="2">
        <f>Datahub!$E$24/12</f>
        <v>20833.333333333332</v>
      </c>
      <c r="BA17" s="43">
        <f t="shared" si="4"/>
        <v>250000.00000000003</v>
      </c>
      <c r="BB17" s="43">
        <f>Tabulka4[[#This Row],[Celkem 2023]]+Tabulka4[[#This Row],[Celkem 2024]]+Tabulka4[[#This Row],[Celkem 2025]]+Tabulka4[[#This Row],[Celkem 2026]]</f>
        <v>1000000</v>
      </c>
    </row>
    <row r="18" spans="1:54">
      <c r="A18" s="48" t="s">
        <v>53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3">
        <f t="shared" si="1"/>
        <v>0</v>
      </c>
      <c r="O18" s="2">
        <f>Datahub!$F$25/12</f>
        <v>184647.22222222222</v>
      </c>
      <c r="P18" s="2">
        <f>Datahub!$F$25/12</f>
        <v>184647.22222222222</v>
      </c>
      <c r="Q18" s="2">
        <f>Datahub!$F$25/12</f>
        <v>184647.22222222222</v>
      </c>
      <c r="R18" s="2">
        <f>Datahub!$F$25/12</f>
        <v>184647.22222222222</v>
      </c>
      <c r="S18" s="2">
        <f>Datahub!$F$25/12</f>
        <v>184647.22222222222</v>
      </c>
      <c r="T18" s="2">
        <f>Datahub!$F$25/12</f>
        <v>184647.22222222222</v>
      </c>
      <c r="U18" s="2">
        <f>Datahub!$F$25/12</f>
        <v>184647.22222222222</v>
      </c>
      <c r="V18" s="2">
        <f>Datahub!$F$25/12</f>
        <v>184647.22222222222</v>
      </c>
      <c r="W18" s="2">
        <f>Datahub!$F$25/12</f>
        <v>184647.22222222222</v>
      </c>
      <c r="X18" s="2">
        <f>Datahub!$F$25/12</f>
        <v>184647.22222222222</v>
      </c>
      <c r="Y18" s="2">
        <f>Datahub!$F$25/12</f>
        <v>184647.22222222222</v>
      </c>
      <c r="Z18" s="2">
        <f>Datahub!$F$25/12</f>
        <v>184647.22222222222</v>
      </c>
      <c r="AA18" s="43">
        <f t="shared" si="2"/>
        <v>2215766.6666666665</v>
      </c>
      <c r="AB18" s="2">
        <f>Datahub!$F$25/12</f>
        <v>184647.22222222222</v>
      </c>
      <c r="AC18" s="2">
        <f>Datahub!$F$25/12</f>
        <v>184647.22222222222</v>
      </c>
      <c r="AD18" s="2">
        <f>Datahub!$F$25/12</f>
        <v>184647.22222222222</v>
      </c>
      <c r="AE18" s="2">
        <f>Datahub!$F$25/12</f>
        <v>184647.22222222222</v>
      </c>
      <c r="AF18" s="2">
        <f>Datahub!$F$25/12</f>
        <v>184647.22222222222</v>
      </c>
      <c r="AG18" s="2">
        <f>Datahub!$F$25/12</f>
        <v>184647.22222222222</v>
      </c>
      <c r="AH18" s="2">
        <f>Datahub!$F$25/12</f>
        <v>184647.22222222222</v>
      </c>
      <c r="AI18" s="2">
        <f>Datahub!$F$25/12</f>
        <v>184647.22222222222</v>
      </c>
      <c r="AJ18" s="2">
        <f>Datahub!$F$25/12</f>
        <v>184647.22222222222</v>
      </c>
      <c r="AK18" s="2">
        <f>Datahub!$F$25/12</f>
        <v>184647.22222222222</v>
      </c>
      <c r="AL18" s="2">
        <f>Datahub!$F$25/12</f>
        <v>184647.22222222222</v>
      </c>
      <c r="AM18" s="2">
        <f>Datahub!$F$25/12</f>
        <v>184647.22222222222</v>
      </c>
      <c r="AN18" s="43">
        <f t="shared" si="3"/>
        <v>2215766.6666666665</v>
      </c>
      <c r="AO18" s="2">
        <f>Datahub!$F$25/12</f>
        <v>184647.22222222222</v>
      </c>
      <c r="AP18" s="2">
        <f>Datahub!$F$25/12</f>
        <v>184647.22222222222</v>
      </c>
      <c r="AQ18" s="2">
        <f>Datahub!$F$25/12</f>
        <v>184647.22222222222</v>
      </c>
      <c r="AR18" s="2">
        <f>Datahub!$F$25/12</f>
        <v>184647.22222222222</v>
      </c>
      <c r="AS18" s="2">
        <f>Datahub!$F$25/12</f>
        <v>184647.22222222222</v>
      </c>
      <c r="AT18" s="2">
        <f>Datahub!$F$25/12</f>
        <v>184647.22222222222</v>
      </c>
      <c r="AU18" s="2">
        <f>Datahub!$F$25/12</f>
        <v>184647.22222222222</v>
      </c>
      <c r="AV18" s="2">
        <f>Datahub!$F$25/12</f>
        <v>184647.22222222222</v>
      </c>
      <c r="AW18" s="2">
        <f>Datahub!$F$25/12</f>
        <v>184647.22222222222</v>
      </c>
      <c r="AX18" s="2">
        <f>Datahub!$F$25/12</f>
        <v>184647.22222222222</v>
      </c>
      <c r="AY18" s="2">
        <f>Datahub!$F$25/12</f>
        <v>184647.22222222222</v>
      </c>
      <c r="AZ18" s="2">
        <f>Datahub!$F$25/12</f>
        <v>184647.22222222222</v>
      </c>
      <c r="BA18" s="43">
        <f t="shared" si="4"/>
        <v>2215766.6666666665</v>
      </c>
      <c r="BB18" s="43">
        <f>Tabulka4[[#This Row],[Celkem 2023]]+Tabulka4[[#This Row],[Celkem 2024]]+Tabulka4[[#This Row],[Celkem 2025]]+Tabulka4[[#This Row],[Celkem 2026]]</f>
        <v>6647300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D26860BBF453469BE5BC39F3AAA74C" ma:contentTypeVersion="4" ma:contentTypeDescription="Vytvoří nový dokument" ma:contentTypeScope="" ma:versionID="953323784f0f18eb884135200fb532c1">
  <xsd:schema xmlns:xsd="http://www.w3.org/2001/XMLSchema" xmlns:xs="http://www.w3.org/2001/XMLSchema" xmlns:p="http://schemas.microsoft.com/office/2006/metadata/properties" xmlns:ns2="d8506e8d-1fc9-425e-b20e-d8d1f600dfcc" xmlns:ns3="5f47b869-a0e2-4c46-b602-04a300f93049" targetNamespace="http://schemas.microsoft.com/office/2006/metadata/properties" ma:root="true" ma:fieldsID="d289f5f670ab5f4a837527039f42ff9d" ns2:_="" ns3:_="">
    <xsd:import namespace="d8506e8d-1fc9-425e-b20e-d8d1f600dfcc"/>
    <xsd:import namespace="5f47b869-a0e2-4c46-b602-04a300f930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06e8d-1fc9-425e-b20e-d8d1f600df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7b869-a0e2-4c46-b602-04a300f930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P V 2 + V B A i z I q k A A A A 9 g A A A B I A H A B D b 2 5 m a W c v U G F j a 2 F n Z S 5 4 b W w g o h g A K K A U A A A A A A A A A A A A A A A A A A A A A A A A A A A A h Y 8 x D o I w G I W v Q r r T l u J A y E 8 Z W C U x M T H G r S k V G q E Y W i x 3 c / B I X k G M o m 6 O 7 3 v f 8 N 7 9 e o N 8 6 t r g o g a r e 5 O h C F M U K C P 7 S p s 6 Q 6 M 7 h g n K O W y E P I l a B b N s b D r Z K k O N c + e U E O 8 9 9 j H u h 5 o w S i O y L 9 d b 2 a h O o I + s / 8 u h N t Y J I x X i s H u N 4 Q x H d I X j Z N 4 E Z I F Q a v M V 2 N w 9 2 x 8 I x d i 6 c V B c 2 r A 4 A F k i k P c H / g B Q S w M E F A A C A A g A P V 2 +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1 d v l Q o i k e 4 D g A A A B E A A A A T A B w A R m 9 y b X V s Y X M v U 2 V j d G l v b j E u b S C i G A A o o B Q A A A A A A A A A A A A A A A A A A A A A A A A A A A A r T k 0 u y c z P U w i G 0 I b W A F B L A Q I t A B Q A A g A I A D 1 d v l Q Q I s y K p A A A A P Y A A A A S A A A A A A A A A A A A A A A A A A A A A A B D b 2 5 m a W c v U G F j a 2 F n Z S 5 4 b W x Q S w E C L Q A U A A I A C A A 9 X b 5 U D 8 r p q 6 Q A A A D p A A A A E w A A A A A A A A A A A A A A A A D w A A A A W 0 N v b n R l b n R f V H l w Z X N d L n h t b F B L A Q I t A B Q A A g A I A D 1 d v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1 h x U U 6 h / i S r S k v o 0 5 H R M 1 A A A A A A I A A A A A A A N m A A D A A A A A E A A A A H x B P h g s z V S R m u M v 6 n D 6 1 z Q A A A A A B I A A A K A A A A A Q A A A A M M h H 4 1 2 3 p v M R A 3 K C B h i Z c l A A A A B S e D 8 I V l N h i 2 E 8 9 4 I z z 9 4 a u M A I J m f 4 j P k v Z x k j v t 7 N m G Q i Z d u T A O n o E W c F Y W x I A s R 3 p V f I j 5 P f 2 X v D / v x L a I n Y H f K 7 j H M m E P X Q + 4 b Q 7 G t O a h Q A A A A P 0 I l J K G d 5 o W N V 0 w z 5 4 G 8 O 0 x f E Z Q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8307E2-54A2-4BFE-A536-4F7337730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506e8d-1fc9-425e-b20e-d8d1f600dfcc"/>
    <ds:schemaRef ds:uri="5f47b869-a0e2-4c46-b602-04a300f930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F8493A-D82F-44EC-BB27-893037962F3D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0CD3D5D-E3EE-45C6-89D1-0924A38A83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38F92454-562C-4694-A62A-F88DE944E5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Datahub</vt:lpstr>
      <vt:lpstr>Rozpočet - kategorie</vt:lpstr>
      <vt:lpstr>Rozpočet - roky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Tesař Pavel</dc:creator>
  <cp:keywords/>
  <dc:description/>
  <cp:lastModifiedBy>Microsoft Office User</cp:lastModifiedBy>
  <cp:revision/>
  <dcterms:created xsi:type="dcterms:W3CDTF">2019-08-13T08:37:39Z</dcterms:created>
  <dcterms:modified xsi:type="dcterms:W3CDTF">2022-06-03T07:32:01Z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0x01010018D26860BBF453469BE5BC39F3AAA74C</vt:lpwstr>
  </property>
</Properties>
</file>